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onnections.xml" ContentType="application/vnd.openxmlformats-officedocument.spreadsheetml.connection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estdpt2\RPL\GrpRevnu\PUBLIC\# 2023 BLR Update\NEW-PSE-WP-REVREQ-COS-2023-BLR-UPDATE-09-2023(C)\"/>
    </mc:Choice>
  </mc:AlternateContent>
  <xr:revisionPtr revIDLastSave="0" documentId="13_ncr:1_{8A8B37F8-F5CD-445D-AC8A-304F09DF994E}" xr6:coauthVersionLast="47" xr6:coauthVersionMax="47" xr10:uidLastSave="{00000000-0000-0000-0000-000000000000}"/>
  <bookViews>
    <workbookView xWindow="-45" yWindow="810" windowWidth="28650" windowHeight="13785" tabRatio="796" xr2:uid="{00000000-000D-0000-FFFF-FFFF00000000}"/>
  </bookViews>
  <sheets>
    <sheet name="REDACTED VERSION" sheetId="24" r:id="rId1"/>
    <sheet name="Lacima Data" sheetId="21" r:id="rId2"/>
    <sheet name="Kingsgate" sheetId="12" r:id="rId3"/>
    <sheet name="3-mo avg gas prices" sheetId="17" r:id="rId4"/>
    <sheet name="(R) Variable transport rates" sheetId="18" r:id="rId5"/>
    <sheet name="(R) Delivered gas prices" sheetId="19" r:id="rId6"/>
    <sheet name="(R) Variable adders" sheetId="23" r:id="rId7"/>
    <sheet name="(R) Aurora inputs" sheetId="2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six6" localSheetId="0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hidden="1">{#N/A,#N/A,FALSE,"schA"}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0" hidden="1">{#N/A,#N/A,FALSE,"Summ";#N/A,#N/A,FALSE,"General"}</definedName>
    <definedName name="_ex1" hidden="1">{#N/A,#N/A,FALSE,"Summ";#N/A,#N/A,FALSE,"General"}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localSheetId="0" hidden="1">0</definedName>
    <definedName name="_Order2" localSheetId="0" hidden="1">0</definedName>
    <definedName name="_Parse_In" localSheetId="0" hidden="1">#REF!</definedName>
    <definedName name="_Parse_In" hidden="1">#REF!</definedName>
    <definedName name="_Regression_Out" localSheetId="0" hidden="1">[6]FIA!#REF!</definedName>
    <definedName name="_Regression_Out" hidden="1">[6]FIA!#REF!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{"Plat Summary",#N/A,FALSE,"PLAT DESIGN"}</definedName>
    <definedName name="a" hidden="1">{"Plat Summary",#N/A,FALSE,"PLAT DESIGN"}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b" localSheetId="0" hidden="1">{"Plat Summary",#N/A,FALSE,"PLAT DESIGN"}</definedName>
    <definedName name="b" hidden="1">{"Plat Summary",#N/A,FALSE,"PLAT DESIGN"}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0" hidden="1">#REF!</definedName>
    <definedName name="Bum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rsmp" localSheetId="0" hidden="1">2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0" hidden="1">{"Plat Summary",#N/A,FALSE,"PLAT DESIGN"}</definedName>
    <definedName name="summary" hidden="1">{"Plat Summary",#N/A,FALSE,"PLAT DESIGN"}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pivotCaches>
    <pivotCache cacheId="2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8" l="1"/>
  <c r="D42" i="18"/>
  <c r="E42" i="18"/>
  <c r="F42" i="18"/>
  <c r="G42" i="18"/>
  <c r="H42" i="18"/>
  <c r="I42" i="18"/>
  <c r="J42" i="18"/>
  <c r="K42" i="18"/>
  <c r="B42" i="18"/>
  <c r="B47" i="18" l="1"/>
  <c r="A19" i="23" l="1"/>
  <c r="N6" i="23"/>
  <c r="M6" i="23"/>
  <c r="M19" i="23" s="1"/>
  <c r="L6" i="23"/>
  <c r="L19" i="23" s="1"/>
  <c r="K6" i="23"/>
  <c r="K19" i="23" s="1"/>
  <c r="J6" i="23"/>
  <c r="J19" i="23" s="1"/>
  <c r="I6" i="23"/>
  <c r="I19" i="23" s="1"/>
  <c r="H6" i="23"/>
  <c r="H19" i="23" s="1"/>
  <c r="G6" i="23"/>
  <c r="G19" i="23" s="1"/>
  <c r="F6" i="23"/>
  <c r="F19" i="23" s="1"/>
  <c r="E6" i="23"/>
  <c r="E19" i="23" s="1"/>
  <c r="D6" i="23"/>
  <c r="D19" i="23" s="1"/>
  <c r="C6" i="23"/>
  <c r="C19" i="23" s="1"/>
  <c r="B6" i="23"/>
  <c r="B19" i="23" s="1"/>
  <c r="N33" i="18" l="1"/>
  <c r="B6" i="19" l="1"/>
  <c r="B19" i="19" s="1"/>
  <c r="C6" i="19"/>
  <c r="C19" i="19" s="1"/>
  <c r="D6" i="19"/>
  <c r="D19" i="19" s="1"/>
  <c r="E6" i="19"/>
  <c r="E19" i="19" s="1"/>
  <c r="F6" i="19"/>
  <c r="F19" i="19" s="1"/>
  <c r="G6" i="19"/>
  <c r="G19" i="19" s="1"/>
  <c r="H6" i="19"/>
  <c r="H19" i="19" s="1"/>
  <c r="I6" i="19"/>
  <c r="I19" i="19" s="1"/>
  <c r="J6" i="19"/>
  <c r="J19" i="19" s="1"/>
  <c r="K6" i="19"/>
  <c r="K19" i="19" s="1"/>
  <c r="L6" i="19"/>
  <c r="L19" i="19" s="1"/>
  <c r="M6" i="19"/>
  <c r="M19" i="19" s="1"/>
  <c r="N6" i="19"/>
  <c r="E13" i="17"/>
  <c r="B8" i="17"/>
  <c r="J8" i="17"/>
  <c r="K11" i="17"/>
  <c r="J15" i="17"/>
  <c r="L8" i="17"/>
  <c r="C11" i="17"/>
  <c r="K14" i="17"/>
  <c r="D11" i="17"/>
  <c r="I12" i="17"/>
  <c r="F13" i="17"/>
  <c r="I8" i="17"/>
  <c r="L9" i="17"/>
  <c r="B16" i="17"/>
  <c r="G14" i="17"/>
  <c r="L12" i="17"/>
  <c r="J9" i="17"/>
  <c r="I15" i="17"/>
  <c r="J13" i="17"/>
  <c r="C9" i="17"/>
  <c r="J17" i="17"/>
  <c r="G16" i="17"/>
  <c r="C7" i="17"/>
  <c r="L11" i="17"/>
  <c r="G15" i="17"/>
  <c r="H7" i="17"/>
  <c r="K8" i="17"/>
  <c r="M13" i="17"/>
  <c r="E15" i="17"/>
  <c r="M16" i="17"/>
  <c r="M8" i="17"/>
  <c r="B14" i="17"/>
  <c r="M17" i="17"/>
  <c r="G12" i="17"/>
  <c r="D13" i="17"/>
  <c r="C13" i="17"/>
  <c r="K16" i="17"/>
  <c r="J14" i="17"/>
  <c r="E16" i="17"/>
  <c r="I9" i="17"/>
  <c r="D17" i="17"/>
  <c r="I13" i="17"/>
  <c r="G7" i="17"/>
  <c r="K13" i="17"/>
  <c r="D16" i="17"/>
  <c r="M7" i="17"/>
  <c r="F7" i="17"/>
  <c r="H9" i="17"/>
  <c r="H8" i="17"/>
  <c r="F14" i="17"/>
  <c r="F15" i="17"/>
  <c r="B13" i="17"/>
  <c r="J16" i="17"/>
  <c r="L14" i="17"/>
  <c r="D8" i="17"/>
  <c r="G11" i="17"/>
  <c r="B12" i="17"/>
  <c r="G17" i="17"/>
  <c r="B11" i="17"/>
  <c r="D7" i="17"/>
  <c r="C16" i="17"/>
  <c r="L17" i="17"/>
  <c r="M9" i="17"/>
  <c r="K17" i="17"/>
  <c r="I17" i="17"/>
  <c r="G8" i="17"/>
  <c r="H15" i="17"/>
  <c r="H14" i="17"/>
  <c r="F17" i="17"/>
  <c r="C15" i="17"/>
  <c r="G9" i="17"/>
  <c r="K7" i="17"/>
  <c r="J7" i="17"/>
  <c r="J12" i="17"/>
  <c r="E14" i="17"/>
  <c r="F11" i="17"/>
  <c r="B9" i="17"/>
  <c r="K12" i="17"/>
  <c r="M14" i="17"/>
  <c r="J11" i="17"/>
  <c r="M15" i="17"/>
  <c r="B15" i="17"/>
  <c r="C14" i="17"/>
  <c r="C12" i="17"/>
  <c r="D15" i="17"/>
  <c r="M11" i="17"/>
  <c r="I14" i="17"/>
  <c r="L7" i="17"/>
  <c r="I11" i="17"/>
  <c r="H17" i="17"/>
  <c r="G13" i="17"/>
  <c r="D14" i="17"/>
  <c r="K9" i="17"/>
  <c r="D9" i="17"/>
  <c r="M12" i="17"/>
  <c r="E7" i="17"/>
  <c r="I7" i="17"/>
  <c r="E12" i="17"/>
  <c r="L15" i="17"/>
  <c r="E8" i="17"/>
  <c r="F9" i="17"/>
  <c r="B7" i="17"/>
  <c r="L16" i="17"/>
  <c r="F12" i="17"/>
  <c r="F16" i="17"/>
  <c r="E9" i="17"/>
  <c r="E17" i="17"/>
  <c r="H13" i="17"/>
  <c r="H11" i="17"/>
  <c r="I16" i="17"/>
  <c r="H16" i="17"/>
  <c r="K15" i="17"/>
  <c r="E11" i="17"/>
  <c r="F8" i="17"/>
  <c r="C8" i="17"/>
  <c r="B17" i="17"/>
  <c r="C17" i="17"/>
  <c r="D12" i="17"/>
  <c r="H12" i="17"/>
  <c r="L13" i="17"/>
  <c r="N8" i="17" l="1"/>
  <c r="N14" i="17"/>
  <c r="C10" i="17"/>
  <c r="N17" i="17"/>
  <c r="I10" i="17"/>
  <c r="N12" i="17"/>
  <c r="N7" i="17"/>
  <c r="N13" i="17"/>
  <c r="K10" i="17"/>
  <c r="N9" i="17"/>
  <c r="B10" i="17"/>
  <c r="E10" i="17"/>
  <c r="N15" i="17"/>
  <c r="J10" i="17"/>
  <c r="N16" i="17"/>
  <c r="D10" i="17"/>
  <c r="M10" i="17"/>
  <c r="F10" i="17"/>
  <c r="G10" i="17"/>
  <c r="H10" i="17"/>
  <c r="N11" i="17"/>
  <c r="L10" i="17"/>
  <c r="B21" i="17"/>
  <c r="B27" i="17" s="1"/>
  <c r="C21" i="17"/>
  <c r="C31" i="17" s="1"/>
  <c r="D19" i="22" s="1"/>
  <c r="D21" i="17"/>
  <c r="D22" i="17" s="1"/>
  <c r="E8" i="22" s="1"/>
  <c r="E21" i="17"/>
  <c r="E26" i="17" s="1"/>
  <c r="F13" i="22" s="1"/>
  <c r="F21" i="17"/>
  <c r="F26" i="17" s="1"/>
  <c r="G13" i="22" s="1"/>
  <c r="G21" i="17"/>
  <c r="G27" i="17" s="1"/>
  <c r="H21" i="17"/>
  <c r="H29" i="17" s="1"/>
  <c r="I12" i="22" s="1"/>
  <c r="I21" i="17"/>
  <c r="I28" i="17" s="1"/>
  <c r="J14" i="22" s="1"/>
  <c r="J21" i="17"/>
  <c r="J24" i="17" s="1"/>
  <c r="K9" i="22" s="1"/>
  <c r="K21" i="17"/>
  <c r="K29" i="17" s="1"/>
  <c r="L12" i="22" s="1"/>
  <c r="L21" i="17"/>
  <c r="L23" i="17" s="1"/>
  <c r="M10" i="22" s="1"/>
  <c r="M21" i="17"/>
  <c r="M22" i="17" s="1"/>
  <c r="N8" i="22" s="1"/>
  <c r="M23" i="17" l="1"/>
  <c r="N10" i="22" s="1"/>
  <c r="C23" i="17"/>
  <c r="D10" i="22" s="1"/>
  <c r="D29" i="17"/>
  <c r="E12" i="22" s="1"/>
  <c r="E22" i="17"/>
  <c r="F8" i="22" s="1"/>
  <c r="G23" i="17"/>
  <c r="H10" i="22" s="1"/>
  <c r="L22" i="17"/>
  <c r="M8" i="22" s="1"/>
  <c r="F29" i="17"/>
  <c r="G12" i="22" s="1"/>
  <c r="F27" i="17"/>
  <c r="G17" i="22" s="1"/>
  <c r="E30" i="17"/>
  <c r="F15" i="22" s="1"/>
  <c r="G24" i="17"/>
  <c r="H9" i="22" s="1"/>
  <c r="D31" i="17"/>
  <c r="E19" i="22" s="1"/>
  <c r="M28" i="17"/>
  <c r="N14" i="22" s="1"/>
  <c r="K27" i="17"/>
  <c r="H24" i="17"/>
  <c r="I9" i="22" s="1"/>
  <c r="M24" i="17"/>
  <c r="N9" i="22" s="1"/>
  <c r="E27" i="17"/>
  <c r="F18" i="22" s="1"/>
  <c r="H25" i="17"/>
  <c r="I11" i="22" s="1"/>
  <c r="D25" i="17"/>
  <c r="E11" i="22" s="1"/>
  <c r="F23" i="17"/>
  <c r="G10" i="22" s="1"/>
  <c r="M29" i="17"/>
  <c r="N12" i="22" s="1"/>
  <c r="C28" i="17"/>
  <c r="D14" i="22" s="1"/>
  <c r="H30" i="17"/>
  <c r="I15" i="22" s="1"/>
  <c r="L28" i="17"/>
  <c r="M14" i="22" s="1"/>
  <c r="H26" i="17"/>
  <c r="I13" i="22" s="1"/>
  <c r="J30" i="17"/>
  <c r="K15" i="22" s="1"/>
  <c r="D24" i="17"/>
  <c r="E9" i="22" s="1"/>
  <c r="I22" i="17"/>
  <c r="J8" i="22" s="1"/>
  <c r="I30" i="17"/>
  <c r="J15" i="22" s="1"/>
  <c r="H22" i="17"/>
  <c r="I8" i="22" s="1"/>
  <c r="K22" i="17"/>
  <c r="L8" i="22" s="1"/>
  <c r="F28" i="17"/>
  <c r="G14" i="22" s="1"/>
  <c r="D26" i="17"/>
  <c r="E13" i="22" s="1"/>
  <c r="I25" i="17"/>
  <c r="J11" i="22" s="1"/>
  <c r="C27" i="17"/>
  <c r="D16" i="22" s="1"/>
  <c r="G29" i="17"/>
  <c r="H12" i="22" s="1"/>
  <c r="B29" i="17"/>
  <c r="J26" i="17"/>
  <c r="K13" i="22" s="1"/>
  <c r="J23" i="17"/>
  <c r="K10" i="22" s="1"/>
  <c r="C22" i="17"/>
  <c r="D8" i="22" s="1"/>
  <c r="G31" i="17"/>
  <c r="H19" i="22" s="1"/>
  <c r="M31" i="17"/>
  <c r="N19" i="22" s="1"/>
  <c r="I29" i="17"/>
  <c r="J12" i="22" s="1"/>
  <c r="F25" i="17"/>
  <c r="G11" i="22" s="1"/>
  <c r="H27" i="17"/>
  <c r="I16" i="22" s="1"/>
  <c r="E25" i="17"/>
  <c r="F11" i="22" s="1"/>
  <c r="D27" i="17"/>
  <c r="E18" i="22" s="1"/>
  <c r="I24" i="17"/>
  <c r="J9" i="22" s="1"/>
  <c r="M30" i="17"/>
  <c r="N15" i="22" s="1"/>
  <c r="K26" i="17"/>
  <c r="L13" i="22" s="1"/>
  <c r="G30" i="17"/>
  <c r="H15" i="22" s="1"/>
  <c r="K28" i="17"/>
  <c r="L14" i="22" s="1"/>
  <c r="E29" i="17"/>
  <c r="F12" i="22" s="1"/>
  <c r="D30" i="17"/>
  <c r="E15" i="22" s="1"/>
  <c r="B30" i="17"/>
  <c r="B24" i="17"/>
  <c r="E28" i="17"/>
  <c r="F14" i="22" s="1"/>
  <c r="I27" i="17"/>
  <c r="J17" i="22" s="1"/>
  <c r="I31" i="17"/>
  <c r="J19" i="22" s="1"/>
  <c r="M27" i="17"/>
  <c r="C26" i="17"/>
  <c r="D13" i="22" s="1"/>
  <c r="I26" i="17"/>
  <c r="J13" i="22" s="1"/>
  <c r="E23" i="17"/>
  <c r="F10" i="22" s="1"/>
  <c r="F24" i="17"/>
  <c r="G9" i="22" s="1"/>
  <c r="B31" i="17"/>
  <c r="C30" i="17"/>
  <c r="D15" i="22" s="1"/>
  <c r="E24" i="17"/>
  <c r="F9" i="22" s="1"/>
  <c r="M26" i="17"/>
  <c r="N13" i="22" s="1"/>
  <c r="B28" i="17"/>
  <c r="B22" i="17"/>
  <c r="F22" i="17"/>
  <c r="G8" i="22" s="1"/>
  <c r="D23" i="17"/>
  <c r="E10" i="22" s="1"/>
  <c r="L29" i="17"/>
  <c r="M12" i="22" s="1"/>
  <c r="G28" i="17"/>
  <c r="H14" i="22" s="1"/>
  <c r="C25" i="17"/>
  <c r="D11" i="22" s="1"/>
  <c r="J29" i="17"/>
  <c r="K12" i="22" s="1"/>
  <c r="G22" i="17"/>
  <c r="H8" i="22" s="1"/>
  <c r="L25" i="17"/>
  <c r="M11" i="22" s="1"/>
  <c r="L27" i="17"/>
  <c r="M18" i="22" s="1"/>
  <c r="D28" i="17"/>
  <c r="E14" i="22" s="1"/>
  <c r="H23" i="17"/>
  <c r="I10" i="22" s="1"/>
  <c r="J25" i="17"/>
  <c r="K11" i="22" s="1"/>
  <c r="K23" i="17"/>
  <c r="L10" i="22" s="1"/>
  <c r="H31" i="17"/>
  <c r="I19" i="22" s="1"/>
  <c r="L31" i="17"/>
  <c r="M19" i="22" s="1"/>
  <c r="I23" i="17"/>
  <c r="J10" i="22" s="1"/>
  <c r="J28" i="17"/>
  <c r="K14" i="22" s="1"/>
  <c r="C29" i="17"/>
  <c r="D12" i="22" s="1"/>
  <c r="J22" i="17"/>
  <c r="K8" i="22" s="1"/>
  <c r="K31" i="17"/>
  <c r="L19" i="22" s="1"/>
  <c r="C24" i="17"/>
  <c r="D9" i="22" s="1"/>
  <c r="L30" i="17"/>
  <c r="M15" i="22" s="1"/>
  <c r="J27" i="17"/>
  <c r="K17" i="22" s="1"/>
  <c r="L24" i="17"/>
  <c r="M9" i="22" s="1"/>
  <c r="J31" i="17"/>
  <c r="K19" i="22" s="1"/>
  <c r="K30" i="17"/>
  <c r="L15" i="22" s="1"/>
  <c r="E31" i="17"/>
  <c r="F19" i="22" s="1"/>
  <c r="F30" i="17"/>
  <c r="G15" i="22" s="1"/>
  <c r="K25" i="17"/>
  <c r="L11" i="22" s="1"/>
  <c r="G26" i="17"/>
  <c r="H13" i="22" s="1"/>
  <c r="H28" i="17"/>
  <c r="I14" i="22" s="1"/>
  <c r="L26" i="17"/>
  <c r="M13" i="22" s="1"/>
  <c r="B23" i="17"/>
  <c r="B26" i="17"/>
  <c r="F31" i="17"/>
  <c r="G19" i="22" s="1"/>
  <c r="G25" i="17"/>
  <c r="H11" i="22" s="1"/>
  <c r="M25" i="17"/>
  <c r="N11" i="22" s="1"/>
  <c r="K24" i="17"/>
  <c r="L9" i="22" s="1"/>
  <c r="G16" i="22"/>
  <c r="G18" i="22"/>
  <c r="L18" i="22"/>
  <c r="L17" i="22"/>
  <c r="L16" i="22"/>
  <c r="D17" i="22"/>
  <c r="N18" i="22"/>
  <c r="N17" i="22"/>
  <c r="N16" i="22"/>
  <c r="I17" i="22"/>
  <c r="K18" i="22"/>
  <c r="H18" i="22"/>
  <c r="H16" i="22"/>
  <c r="H17" i="22"/>
  <c r="B25" i="17"/>
  <c r="N10" i="17"/>
  <c r="I18" i="22" l="1"/>
  <c r="K16" i="22"/>
  <c r="F16" i="22"/>
  <c r="F17" i="22"/>
  <c r="N22" i="17"/>
  <c r="N28" i="17"/>
  <c r="N31" i="17"/>
  <c r="N27" i="17"/>
  <c r="N24" i="17"/>
  <c r="J16" i="22"/>
  <c r="J18" i="22"/>
  <c r="N26" i="17"/>
  <c r="N23" i="17"/>
  <c r="D18" i="22"/>
  <c r="M16" i="22"/>
  <c r="E16" i="22"/>
  <c r="N25" i="17"/>
  <c r="M17" i="22"/>
  <c r="E17" i="22"/>
  <c r="N30" i="17"/>
  <c r="N29" i="17"/>
  <c r="N39" i="18" l="1"/>
  <c r="I43" i="18"/>
  <c r="A19" i="19" l="1"/>
  <c r="A21" i="17"/>
  <c r="K43" i="18"/>
  <c r="G43" i="18"/>
  <c r="E43" i="18"/>
  <c r="K47" i="18"/>
  <c r="I47" i="18"/>
  <c r="H47" i="18"/>
  <c r="F47" i="18"/>
  <c r="E47" i="18"/>
  <c r="D47" i="18"/>
  <c r="C47" i="18"/>
  <c r="G46" i="18"/>
  <c r="E46" i="18"/>
  <c r="K46" i="18"/>
  <c r="K45" i="18"/>
  <c r="J45" i="18"/>
  <c r="I45" i="18"/>
  <c r="H45" i="18"/>
  <c r="G45" i="18"/>
  <c r="E45" i="18"/>
  <c r="D45" i="18"/>
  <c r="C45" i="18"/>
  <c r="B45" i="18"/>
  <c r="N38" i="18"/>
  <c r="N37" i="18"/>
  <c r="N36" i="18"/>
  <c r="J46" i="18"/>
  <c r="I46" i="18"/>
  <c r="H46" i="18"/>
  <c r="F46" i="18"/>
  <c r="D46" i="18"/>
  <c r="C46" i="18"/>
  <c r="B46" i="18"/>
  <c r="N34" i="18"/>
  <c r="J43" i="18"/>
  <c r="H43" i="18"/>
  <c r="F43" i="18"/>
  <c r="C43" i="18"/>
  <c r="D43" i="18"/>
  <c r="B43" i="18"/>
  <c r="N32" i="18"/>
  <c r="N30" i="18"/>
  <c r="N28" i="18"/>
  <c r="N27" i="18"/>
  <c r="N26" i="18"/>
  <c r="N25" i="18"/>
  <c r="N24" i="18"/>
  <c r="J47" i="18"/>
  <c r="G47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F45" i="18" l="1"/>
  <c r="C44" i="18"/>
  <c r="D44" i="18"/>
  <c r="G44" i="18"/>
  <c r="J44" i="18"/>
  <c r="F44" i="18"/>
  <c r="E44" i="18"/>
  <c r="F48" i="18" l="1"/>
  <c r="C12" i="22" l="1"/>
  <c r="C15" i="22"/>
  <c r="C13" i="22"/>
  <c r="C14" i="22"/>
  <c r="C18" i="22" l="1"/>
  <c r="C16" i="22"/>
  <c r="C17" i="22"/>
  <c r="C8" i="22"/>
  <c r="C19" i="22"/>
  <c r="C10" i="22"/>
  <c r="C9" i="22"/>
  <c r="C11" i="2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PricesTabularCube PricesModel.odc" keepAlive="1" name="SQEWPCRSQ01V01 PricesTabularCube PricesModel" type="5" refreshedVersion="6" background="1">
    <dbPr connection="Provider=MSOLAP.5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QEWPCRSQ01V01 PricesTabularCube PricesModel"/>
    <s v="{[Commodity].[Commodity].&amp;[Gas]}"/>
    <s v="{[Demand Profile].[Demand Profile].[All]}"/>
    <s v="{[Price Source].[Price Source Name].&amp;[Platts]}"/>
    <s v="{[Price Type].[Price Type Name].&amp;[Monthly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<sst xmlns="http://schemas.openxmlformats.org/spreadsheetml/2006/main" count="8392" uniqueCount="1015">
  <si>
    <t>Sumas</t>
  </si>
  <si>
    <t>AECO</t>
  </si>
  <si>
    <t>Stanfield</t>
  </si>
  <si>
    <t>San Juan</t>
  </si>
  <si>
    <t>Malin</t>
  </si>
  <si>
    <t>Rockies</t>
  </si>
  <si>
    <t>Henry Hub</t>
  </si>
  <si>
    <t>Kingsgate</t>
  </si>
  <si>
    <t>Nymex (HH)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</si>
  <si>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</si>
  <si>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</si>
  <si>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</si>
  <si>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</si>
  <si>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</si>
  <si>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</si>
  <si>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</si>
  <si>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</si>
  <si>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</si>
  <si>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</si>
  <si>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</si>
  <si>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</si>
  <si>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Rockies / Opal</t>
  </si>
  <si>
    <t>PG&amp;E City Gate</t>
  </si>
  <si>
    <t>SoCal City Gate</t>
  </si>
  <si>
    <t>AURORA economic base year:</t>
  </si>
  <si>
    <t>Diff.</t>
  </si>
  <si>
    <t>Encogen</t>
  </si>
  <si>
    <t>Ferndale</t>
  </si>
  <si>
    <t>Goldendale</t>
  </si>
  <si>
    <t>Mint Farm</t>
  </si>
  <si>
    <t>NWP fuel (std) (%)</t>
  </si>
  <si>
    <t xml:space="preserve">NWP variable charge </t>
  </si>
  <si>
    <t>ACA</t>
  </si>
  <si>
    <t>B&amp;O Tax - Bellingham (ENC)</t>
  </si>
  <si>
    <t>Sumas Gas Use Tax (capped at $100k/mo)</t>
  </si>
  <si>
    <t>WA State Public Utility Tax</t>
  </si>
  <si>
    <t>Goldendale tax (capped at $350k/yr) (%)</t>
  </si>
  <si>
    <t>ACA Charge ($/MMBtu)</t>
  </si>
  <si>
    <t>Variable gas transportation rates</t>
  </si>
  <si>
    <t>Frederickson 1&amp;2</t>
  </si>
  <si>
    <t>Fredonia 1&amp;2</t>
  </si>
  <si>
    <t>Fredonia 3&amp;4</t>
  </si>
  <si>
    <t>Freddy 1</t>
  </si>
  <si>
    <t>NWP Fuel Charge (%)</t>
  </si>
  <si>
    <t>NWP variable and cap. release charges ($/MMBtu)</t>
  </si>
  <si>
    <t>Cascade LDC charges ($/MMBtu)</t>
  </si>
  <si>
    <t>Cascade Fuel Rate (%)</t>
  </si>
  <si>
    <t>Three-month average gas price plus variable transportation charges</t>
  </si>
  <si>
    <t>Whitehorn</t>
  </si>
  <si>
    <t>Nominal prices ($/MMBtu)</t>
  </si>
  <si>
    <t>Taxes (applied to gas price, %)</t>
  </si>
  <si>
    <t>Bellingham B&amp;O tax (applied to Cascade charges, $/MMBtu)</t>
  </si>
  <si>
    <t>Cascade Pipeline Rates</t>
  </si>
  <si>
    <t>Puget Sound Energy</t>
  </si>
  <si>
    <t>Delivered Gas Prices</t>
  </si>
  <si>
    <t>3-month Average Gas Prices</t>
  </si>
  <si>
    <t>$/MMBtu</t>
  </si>
  <si>
    <t>NWP Trans. capacity release</t>
  </si>
  <si>
    <t>Gas Delivery charges by plant</t>
  </si>
  <si>
    <t>Other/Taxes</t>
  </si>
  <si>
    <t>Northwest Pipeline Rates</t>
  </si>
  <si>
    <t>AURORA escalation rate:</t>
  </si>
  <si>
    <t>Util.Disc. 1st 10,000MMBtu/mo.</t>
  </si>
  <si>
    <t>Util.Disc. &gt; 10,000MMBtu/mo. &lt;30,000MMBtu/mo</t>
  </si>
  <si>
    <t>Util.Disc. &gt; 30,000MMBtu/mo. &lt;50,000MMBtu/mo</t>
  </si>
  <si>
    <t>Util.Disc. &gt; 50,000MMBtu/mo. &lt;60,000MMBtu/mo</t>
  </si>
  <si>
    <t>Util.Disc. &gt; 60,000MMBtu/mo. &lt;90,000MMBtu/mo</t>
  </si>
  <si>
    <t>Util.Disc. &gt; 90,000MMBtu/mo. &lt;130,000MMBtu/mo</t>
  </si>
  <si>
    <t>Util.Disc. &gt; 130,000MMBtu/mo.</t>
  </si>
  <si>
    <t>Comm Chg &gt;2,200,000MMBtu/yr</t>
  </si>
  <si>
    <t>Commodity charge/MMBtu</t>
  </si>
  <si>
    <t>Commodity Ch 1st 10,000</t>
  </si>
  <si>
    <t>Commodity Ch &gt; 10,000 &lt;30,000</t>
  </si>
  <si>
    <t>Commodity Ch &gt; 30,000 &lt; 50,000</t>
  </si>
  <si>
    <t>Commodity Ch &gt; 50,000</t>
  </si>
  <si>
    <t>Energy Assistance Fund</t>
  </si>
  <si>
    <t>Pipeline Replacement</t>
  </si>
  <si>
    <t>Cascade Fuel rate</t>
  </si>
  <si>
    <t>Cascade dispatch charge/MMBtu</t>
  </si>
  <si>
    <t>Unprotected EDIT</t>
  </si>
  <si>
    <t>Protected EDIT</t>
  </si>
  <si>
    <t>Kingsgate to Stanfield historical basis differential</t>
  </si>
  <si>
    <t>Kingsgate nominal prices = Stanfield + Kingsgate-to-Stanfield historical basis differential</t>
  </si>
  <si>
    <t>Average actual historical Kingsgate to Stanfield differential</t>
  </si>
  <si>
    <t>Price &amp; HeatRate</t>
  </si>
  <si>
    <t>Commodity</t>
  </si>
  <si>
    <t>All</t>
  </si>
  <si>
    <t>Gas</t>
  </si>
  <si>
    <t>Row Labels</t>
  </si>
  <si>
    <t>$2.34</t>
  </si>
  <si>
    <t>Column Labels</t>
  </si>
  <si>
    <t>PG&amp;E</t>
  </si>
  <si>
    <t>SoCal</t>
  </si>
  <si>
    <t>Station2</t>
  </si>
  <si>
    <t>Demand Profile</t>
  </si>
  <si>
    <t>Price Source Name</t>
  </si>
  <si>
    <t>Price Type Name</t>
  </si>
  <si>
    <t>Platts</t>
  </si>
  <si>
    <t>Monthly</t>
  </si>
  <si>
    <t>ID</t>
  </si>
  <si>
    <t>Use</t>
  </si>
  <si>
    <t>Aurora Inputs Gas Prices</t>
  </si>
  <si>
    <t>Inputs to Time Series Monthly table in Aurora</t>
  </si>
  <si>
    <t>$2.61</t>
  </si>
  <si>
    <t>$2.76</t>
  </si>
  <si>
    <t>$2.48</t>
  </si>
  <si>
    <t>$2.81</t>
  </si>
  <si>
    <t>Station 2</t>
  </si>
  <si>
    <t>$2.70</t>
  </si>
  <si>
    <t>$2.45</t>
  </si>
  <si>
    <t>$2.86</t>
  </si>
  <si>
    <t>$2.77</t>
  </si>
  <si>
    <t>$3.06</t>
  </si>
  <si>
    <t>$2.39</t>
  </si>
  <si>
    <t>$2.68</t>
  </si>
  <si>
    <t>$2.62</t>
  </si>
  <si>
    <t>$2.30</t>
  </si>
  <si>
    <t>$2.63</t>
  </si>
  <si>
    <t>$2.98</t>
  </si>
  <si>
    <t>$3.12</t>
  </si>
  <si>
    <t>$2.82</t>
  </si>
  <si>
    <t>$2.84</t>
  </si>
  <si>
    <t>$3.73</t>
  </si>
  <si>
    <t>$2.78</t>
  </si>
  <si>
    <t>$2.31</t>
  </si>
  <si>
    <t>$2.69</t>
  </si>
  <si>
    <t>$3.43</t>
  </si>
  <si>
    <t>$2.74</t>
  </si>
  <si>
    <t>$2.37</t>
  </si>
  <si>
    <t>$2.46</t>
  </si>
  <si>
    <t>$3.32</t>
  </si>
  <si>
    <t>$3.08</t>
  </si>
  <si>
    <t>$2.44</t>
  </si>
  <si>
    <t>$3.03</t>
  </si>
  <si>
    <t>$3.80</t>
  </si>
  <si>
    <t>$3.61</t>
  </si>
  <si>
    <t>$2.91</t>
  </si>
  <si>
    <t>$2.43</t>
  </si>
  <si>
    <t>$2.42</t>
  </si>
  <si>
    <t>$2.60</t>
  </si>
  <si>
    <t>$2.80</t>
  </si>
  <si>
    <t>$3.11</t>
  </si>
  <si>
    <t>$2.85</t>
  </si>
  <si>
    <t>$2.87</t>
  </si>
  <si>
    <t>$3.07</t>
  </si>
  <si>
    <t>$3.10</t>
  </si>
  <si>
    <t>$2.47</t>
  </si>
  <si>
    <t>$2.79</t>
  </si>
  <si>
    <t>$3.19</t>
  </si>
  <si>
    <t>$2.95</t>
  </si>
  <si>
    <t>$3.22</t>
  </si>
  <si>
    <t>$3.60</t>
  </si>
  <si>
    <t>$3.35</t>
  </si>
  <si>
    <t>$2.49</t>
  </si>
  <si>
    <t>$2.33</t>
  </si>
  <si>
    <t>$2.38</t>
  </si>
  <si>
    <t>$2.50</t>
  </si>
  <si>
    <t>$2.71</t>
  </si>
  <si>
    <t>$2.32</t>
  </si>
  <si>
    <t>$2.56</t>
  </si>
  <si>
    <t>$2.59</t>
  </si>
  <si>
    <t>$2.36</t>
  </si>
  <si>
    <t>$2.41</t>
  </si>
  <si>
    <t>$2.40</t>
  </si>
  <si>
    <t>$2.35</t>
  </si>
  <si>
    <t>$2.25</t>
  </si>
  <si>
    <t>$3.24</t>
  </si>
  <si>
    <t>$3.48</t>
  </si>
  <si>
    <t>$3.18</t>
  </si>
  <si>
    <t>$3.05</t>
  </si>
  <si>
    <t>$3.75</t>
  </si>
  <si>
    <t>$3.17</t>
  </si>
  <si>
    <t>$2.88</t>
  </si>
  <si>
    <t>$3.09</t>
  </si>
  <si>
    <t>$2.90</t>
  </si>
  <si>
    <t>$2.96</t>
  </si>
  <si>
    <t>$3.04</t>
  </si>
  <si>
    <t>$3.81</t>
  </si>
  <si>
    <t>$3.45</t>
  </si>
  <si>
    <t>2024/Jan</t>
  </si>
  <si>
    <t>2024/Feb</t>
  </si>
  <si>
    <t>2024/Mar</t>
  </si>
  <si>
    <t>2024/Apr</t>
  </si>
  <si>
    <t>2024/May</t>
  </si>
  <si>
    <t>2024/Jun</t>
  </si>
  <si>
    <t>2024/Jul</t>
  </si>
  <si>
    <t>2024/Aug</t>
  </si>
  <si>
    <t>2024/Sep</t>
  </si>
  <si>
    <t>2024/Oct</t>
  </si>
  <si>
    <t>2024/Nov</t>
  </si>
  <si>
    <t>2024/Dec</t>
  </si>
  <si>
    <t>$3.68</t>
  </si>
  <si>
    <t>$3.44</t>
  </si>
  <si>
    <t>$2.93</t>
  </si>
  <si>
    <t>$3.52</t>
  </si>
  <si>
    <t>$3.47</t>
  </si>
  <si>
    <t>$3.31</t>
  </si>
  <si>
    <t>$3.62</t>
  </si>
  <si>
    <t>$3.64</t>
  </si>
  <si>
    <t>$3.46</t>
  </si>
  <si>
    <t>$3.21</t>
  </si>
  <si>
    <t>$3.65</t>
  </si>
  <si>
    <t>$3.13</t>
  </si>
  <si>
    <t>$3.02</t>
  </si>
  <si>
    <t>$2.99</t>
  </si>
  <si>
    <t>$2.83</t>
  </si>
  <si>
    <t>$3.25</t>
  </si>
  <si>
    <t>$3.27</t>
  </si>
  <si>
    <t>$3.20</t>
  </si>
  <si>
    <t>$3.15</t>
  </si>
  <si>
    <t>$3.87</t>
  </si>
  <si>
    <t>$3.69</t>
  </si>
  <si>
    <t>$3.29</t>
  </si>
  <si>
    <t>$3.30</t>
  </si>
  <si>
    <t>$3.49</t>
  </si>
  <si>
    <t>$3.54</t>
  </si>
  <si>
    <t>$3.51</t>
  </si>
  <si>
    <t>$3.72</t>
  </si>
  <si>
    <t>$3.26</t>
  </si>
  <si>
    <t>$3.42</t>
  </si>
  <si>
    <t>$3.63</t>
  </si>
  <si>
    <t>$3.66</t>
  </si>
  <si>
    <t>$3.14</t>
  </si>
  <si>
    <t>$3.34</t>
  </si>
  <si>
    <t>$3.39</t>
  </si>
  <si>
    <t>$3.41</t>
  </si>
  <si>
    <t>$2.97</t>
  </si>
  <si>
    <t>$3.50</t>
  </si>
  <si>
    <t>$3.37</t>
  </si>
  <si>
    <t>2024_Sumas_prices</t>
  </si>
  <si>
    <t>2024_Stanfield_prices</t>
  </si>
  <si>
    <t>2024_AECO_prices</t>
  </si>
  <si>
    <t>2024_Kingsgate_prices</t>
  </si>
  <si>
    <t>2024_Malin_prices</t>
  </si>
  <si>
    <t>2024_PG&amp;E_CityGate_prices</t>
  </si>
  <si>
    <t>2024_San_Juan_prices</t>
  </si>
  <si>
    <t>2024_Opal_prices</t>
  </si>
  <si>
    <t>2024_Topock_prices</t>
  </si>
  <si>
    <t>2024_SoCal_CityGate_prices</t>
  </si>
  <si>
    <t>2024_SoCal_Ehrenberg_prices</t>
  </si>
  <si>
    <t>2024_Henry_Hub_prices</t>
  </si>
  <si>
    <t>$3.79</t>
  </si>
  <si>
    <t>$3.55</t>
  </si>
  <si>
    <t>$3.01</t>
  </si>
  <si>
    <t>$3.16</t>
  </si>
  <si>
    <t>$3.23</t>
  </si>
  <si>
    <t>$3.74</t>
  </si>
  <si>
    <t>$3.56</t>
  </si>
  <si>
    <t>$3.28</t>
  </si>
  <si>
    <t>$3.71</t>
  </si>
  <si>
    <t>$3.82</t>
  </si>
  <si>
    <t>$3.57</t>
  </si>
  <si>
    <t>$3.59</t>
  </si>
  <si>
    <t>$3.70</t>
  </si>
  <si>
    <t>$3.78</t>
  </si>
  <si>
    <t>$3.58</t>
  </si>
  <si>
    <t>$3.53</t>
  </si>
  <si>
    <t>$3.67</t>
  </si>
  <si>
    <t>$3.77</t>
  </si>
  <si>
    <t>$3.76</t>
  </si>
  <si>
    <t>$3.40</t>
  </si>
  <si>
    <t>$3.00</t>
  </si>
  <si>
    <t>$3.38</t>
  </si>
  <si>
    <t>$3.36</t>
  </si>
  <si>
    <t>$3.33</t>
  </si>
  <si>
    <t>$2.94</t>
  </si>
  <si>
    <t>$2.92</t>
  </si>
  <si>
    <t>$2.89</t>
  </si>
  <si>
    <t>$4.38</t>
  </si>
  <si>
    <t>$4.11</t>
  </si>
  <si>
    <t>$2.65</t>
  </si>
  <si>
    <t>$2.66</t>
  </si>
  <si>
    <t>$2.58</t>
  </si>
  <si>
    <t>$3.84</t>
  </si>
  <si>
    <t>$3.89</t>
  </si>
  <si>
    <t>$3.99</t>
  </si>
  <si>
    <t>$3.85</t>
  </si>
  <si>
    <t>$2.51</t>
  </si>
  <si>
    <t>$2.53</t>
  </si>
  <si>
    <t>$2.55</t>
  </si>
  <si>
    <t>$2.67</t>
  </si>
  <si>
    <t>$2.64</t>
  </si>
  <si>
    <t>$2.73</t>
  </si>
  <si>
    <t>$2.72</t>
  </si>
  <si>
    <t>$4.04</t>
  </si>
  <si>
    <t>$3.92</t>
  </si>
  <si>
    <t>$2.57</t>
  </si>
  <si>
    <t>$4.06</t>
  </si>
  <si>
    <t>$3.95</t>
  </si>
  <si>
    <t>$2.54</t>
  </si>
  <si>
    <t>$4.68</t>
  </si>
  <si>
    <t>$4.56</t>
  </si>
  <si>
    <t>$4.37</t>
  </si>
  <si>
    <t>$3.86</t>
  </si>
  <si>
    <t>$3.90</t>
  </si>
  <si>
    <t>$3.88</t>
  </si>
  <si>
    <t>$4.21</t>
  </si>
  <si>
    <t>$4.28</t>
  </si>
  <si>
    <t>$4.19</t>
  </si>
  <si>
    <t>$4.05</t>
  </si>
  <si>
    <t>$4.17</t>
  </si>
  <si>
    <t>$4.08</t>
  </si>
  <si>
    <t>$4.01</t>
  </si>
  <si>
    <t>$3.97</t>
  </si>
  <si>
    <t>$4.58</t>
  </si>
  <si>
    <t>$4.45</t>
  </si>
  <si>
    <t>$3.94</t>
  </si>
  <si>
    <t>$2.75</t>
  </si>
  <si>
    <t>$5.00</t>
  </si>
  <si>
    <t>$4.70</t>
  </si>
  <si>
    <t>$2.52</t>
  </si>
  <si>
    <t>$3.91</t>
  </si>
  <si>
    <t>$4.32</t>
  </si>
  <si>
    <t>$4.30</t>
  </si>
  <si>
    <t>$4.10</t>
  </si>
  <si>
    <t>$4.09</t>
  </si>
  <si>
    <t>$4.89</t>
  </si>
  <si>
    <t>$4.60</t>
  </si>
  <si>
    <t>$4.27</t>
  </si>
  <si>
    <t>$4.26</t>
  </si>
  <si>
    <t>$4.87</t>
  </si>
  <si>
    <t>$3.93</t>
  </si>
  <si>
    <t>$4.25</t>
  </si>
  <si>
    <t>$4.24</t>
  </si>
  <si>
    <t>$4.03</t>
  </si>
  <si>
    <t>$4.86</t>
  </si>
  <si>
    <t>$4.57</t>
  </si>
  <si>
    <t>$4.23</t>
  </si>
  <si>
    <t>$4.02</t>
  </si>
  <si>
    <t>$4.00</t>
  </si>
  <si>
    <t>$4.59</t>
  </si>
  <si>
    <t>$4.18</t>
  </si>
  <si>
    <t>$4.99</t>
  </si>
  <si>
    <t>$4.69</t>
  </si>
  <si>
    <t>$4.22</t>
  </si>
  <si>
    <t>$3.96</t>
  </si>
  <si>
    <t>$5.06</t>
  </si>
  <si>
    <t>$4.76</t>
  </si>
  <si>
    <t>$3.98</t>
  </si>
  <si>
    <t>$5.09</t>
  </si>
  <si>
    <t>$4.78</t>
  </si>
  <si>
    <t>$3.83</t>
  </si>
  <si>
    <t>$4.07</t>
  </si>
  <si>
    <t>$4.97</t>
  </si>
  <si>
    <t>$4.66</t>
  </si>
  <si>
    <t>$4.15</t>
  </si>
  <si>
    <t>$4.13</t>
  </si>
  <si>
    <t>$4.65</t>
  </si>
  <si>
    <t>$4.35</t>
  </si>
  <si>
    <t>$4.64</t>
  </si>
  <si>
    <t>$4.34</t>
  </si>
  <si>
    <t>$4.48</t>
  </si>
  <si>
    <t>$4.20</t>
  </si>
  <si>
    <t>$4.43</t>
  </si>
  <si>
    <t>$4.36</t>
  </si>
  <si>
    <t>$4.29</t>
  </si>
  <si>
    <t>$4.12</t>
  </si>
  <si>
    <t>$4.16</t>
  </si>
  <si>
    <t>$5.45</t>
  </si>
  <si>
    <t>$5.28</t>
  </si>
  <si>
    <t>$4.52</t>
  </si>
  <si>
    <t>$4.40</t>
  </si>
  <si>
    <t>$4.50</t>
  </si>
  <si>
    <t>$5.35</t>
  </si>
  <si>
    <t>$5.19</t>
  </si>
  <si>
    <t>$4.33</t>
  </si>
  <si>
    <t>$4.62</t>
  </si>
  <si>
    <t>$4.44</t>
  </si>
  <si>
    <t>$5.33</t>
  </si>
  <si>
    <t>$5.17</t>
  </si>
  <si>
    <t>$4.55</t>
  </si>
  <si>
    <t>$4.42</t>
  </si>
  <si>
    <t>$5.32</t>
  </si>
  <si>
    <t>$5.16</t>
  </si>
  <si>
    <t>$4.53</t>
  </si>
  <si>
    <t>$5.18</t>
  </si>
  <si>
    <t>$4.41</t>
  </si>
  <si>
    <t>$5.52</t>
  </si>
  <si>
    <t>$4.31</t>
  </si>
  <si>
    <t>$4.54</t>
  </si>
  <si>
    <t>$5.55</t>
  </si>
  <si>
    <t>$5.37</t>
  </si>
  <si>
    <t>$4.51</t>
  </si>
  <si>
    <t>$4.61</t>
  </si>
  <si>
    <t>$5.54</t>
  </si>
  <si>
    <t>$5.36</t>
  </si>
  <si>
    <t>$4.46</t>
  </si>
  <si>
    <t>$4.39</t>
  </si>
  <si>
    <t>$5.22</t>
  </si>
  <si>
    <t>$5.07</t>
  </si>
  <si>
    <t>$4.90</t>
  </si>
  <si>
    <t>$4.93</t>
  </si>
  <si>
    <t>$4.77</t>
  </si>
  <si>
    <t>$4.74</t>
  </si>
  <si>
    <t>$4.85</t>
  </si>
  <si>
    <t>$4.82</t>
  </si>
  <si>
    <t>$4.67</t>
  </si>
  <si>
    <t>$4.14</t>
  </si>
  <si>
    <t>$4.71</t>
  </si>
  <si>
    <t>$4.63</t>
  </si>
  <si>
    <t>$4.49</t>
  </si>
  <si>
    <t>$5.34</t>
  </si>
  <si>
    <t>$4.96</t>
  </si>
  <si>
    <t>$5.24</t>
  </si>
  <si>
    <t>$5.11</t>
  </si>
  <si>
    <t>$4.84</t>
  </si>
  <si>
    <t>$5.05</t>
  </si>
  <si>
    <t>$4.83</t>
  </si>
  <si>
    <t>$5.21</t>
  </si>
  <si>
    <t>$5.08</t>
  </si>
  <si>
    <t>$5.31</t>
  </si>
  <si>
    <t>$5.38</t>
  </si>
  <si>
    <t>$5.40</t>
  </si>
  <si>
    <t>$5.25</t>
  </si>
  <si>
    <t>$5.39</t>
  </si>
  <si>
    <t>$4.81</t>
  </si>
  <si>
    <t>$5.10</t>
  </si>
  <si>
    <t>$5.02</t>
  </si>
  <si>
    <t>$4.88</t>
  </si>
  <si>
    <t>$4.91</t>
  </si>
  <si>
    <t>$4.80</t>
  </si>
  <si>
    <t>$4.47</t>
  </si>
  <si>
    <t>$4.79</t>
  </si>
  <si>
    <t>$5.03</t>
  </si>
  <si>
    <t>$4.73</t>
  </si>
  <si>
    <t>$5.14</t>
  </si>
  <si>
    <t>$4.72</t>
  </si>
  <si>
    <t>$4.75</t>
  </si>
  <si>
    <t>$5.53</t>
  </si>
  <si>
    <t>$5.49</t>
  </si>
  <si>
    <t>$5.46</t>
  </si>
  <si>
    <t>$5.04</t>
  </si>
  <si>
    <t>$5.56</t>
  </si>
  <si>
    <t>$5.42</t>
  </si>
  <si>
    <t>$5.13</t>
  </si>
  <si>
    <t>$5.41</t>
  </si>
  <si>
    <t>$5.01</t>
  </si>
  <si>
    <t>$5.23</t>
  </si>
  <si>
    <t>$5.79</t>
  </si>
  <si>
    <t>$5.60</t>
  </si>
  <si>
    <t>$5.58</t>
  </si>
  <si>
    <t>$5.48</t>
  </si>
  <si>
    <t>$5.75</t>
  </si>
  <si>
    <t>$4.92</t>
  </si>
  <si>
    <t>$5.12</t>
  </si>
  <si>
    <t>$5.65</t>
  </si>
  <si>
    <t>$4.94</t>
  </si>
  <si>
    <t>$5.66</t>
  </si>
  <si>
    <t>$5.64</t>
  </si>
  <si>
    <t>$5.50</t>
  </si>
  <si>
    <t>$5.20</t>
  </si>
  <si>
    <t>$5.51</t>
  </si>
  <si>
    <t>$5.63</t>
  </si>
  <si>
    <t>$5.47</t>
  </si>
  <si>
    <t>$5.26</t>
  </si>
  <si>
    <t>$5.29</t>
  </si>
  <si>
    <t>$5.27</t>
  </si>
  <si>
    <t>$5.30</t>
  </si>
  <si>
    <t>$5.15</t>
  </si>
  <si>
    <t>$5.77</t>
  </si>
  <si>
    <t>$4.95</t>
  </si>
  <si>
    <t>$4.98</t>
  </si>
  <si>
    <t>$5.43</t>
  </si>
  <si>
    <t>$5.57</t>
  </si>
  <si>
    <t>$5.44</t>
  </si>
  <si>
    <t>$5.72</t>
  </si>
  <si>
    <t>$5.68</t>
  </si>
  <si>
    <t>Average fuel price nominal</t>
  </si>
  <si>
    <t>Average 2020 fuel prices</t>
  </si>
  <si>
    <t>$7.23</t>
  </si>
  <si>
    <t>$6.63</t>
  </si>
  <si>
    <t>$5.84</t>
  </si>
  <si>
    <t>$5.85</t>
  </si>
  <si>
    <t>$6.91</t>
  </si>
  <si>
    <t>$6.50</t>
  </si>
  <si>
    <t>$8.46</t>
  </si>
  <si>
    <t>$8.51</t>
  </si>
  <si>
    <t>$7.67</t>
  </si>
  <si>
    <t>$6.61</t>
  </si>
  <si>
    <t>$6.26</t>
  </si>
  <si>
    <t>$6.28</t>
  </si>
  <si>
    <t>$6.62</t>
  </si>
  <si>
    <t>$6.19</t>
  </si>
  <si>
    <t>$8.13</t>
  </si>
  <si>
    <t>$8.18</t>
  </si>
  <si>
    <t>$7.35</t>
  </si>
  <si>
    <t>$6.53</t>
  </si>
  <si>
    <t>$6.55</t>
  </si>
  <si>
    <t>$6.18</t>
  </si>
  <si>
    <t>$6.16</t>
  </si>
  <si>
    <t>$6.95</t>
  </si>
  <si>
    <t>$6.13</t>
  </si>
  <si>
    <t>$8.05</t>
  </si>
  <si>
    <t>$6.54</t>
  </si>
  <si>
    <t>$6.23</t>
  </si>
  <si>
    <t>$6.32</t>
  </si>
  <si>
    <t>$5.92</t>
  </si>
  <si>
    <t>$7.83</t>
  </si>
  <si>
    <t>$7.81</t>
  </si>
  <si>
    <t>$7.03</t>
  </si>
  <si>
    <t>$6.47</t>
  </si>
  <si>
    <t>$6.45</t>
  </si>
  <si>
    <t>$6.10</t>
  </si>
  <si>
    <t>$6.17</t>
  </si>
  <si>
    <t>$8.89</t>
  </si>
  <si>
    <t>$5.80</t>
  </si>
  <si>
    <t>$6.92</t>
  </si>
  <si>
    <t>$6.40</t>
  </si>
  <si>
    <t>$6.38</t>
  </si>
  <si>
    <t>$6.04</t>
  </si>
  <si>
    <t>$6.08</t>
  </si>
  <si>
    <t>$8.14</t>
  </si>
  <si>
    <t>$7.58</t>
  </si>
  <si>
    <t>$6.82</t>
  </si>
  <si>
    <t>$6.43</t>
  </si>
  <si>
    <t>$6.41</t>
  </si>
  <si>
    <t>$6.07</t>
  </si>
  <si>
    <t>$6.11</t>
  </si>
  <si>
    <t>$7.54</t>
  </si>
  <si>
    <t>$6.79</t>
  </si>
  <si>
    <t>$6.42</t>
  </si>
  <si>
    <t>$6.05</t>
  </si>
  <si>
    <t>$9.07</t>
  </si>
  <si>
    <t>$7.92</t>
  </si>
  <si>
    <t>$7.52</t>
  </si>
  <si>
    <t>$7.51</t>
  </si>
  <si>
    <t>$6.77</t>
  </si>
  <si>
    <t>$6.39</t>
  </si>
  <si>
    <t>$6.37</t>
  </si>
  <si>
    <t>$6.09</t>
  </si>
  <si>
    <t>$7.53</t>
  </si>
  <si>
    <t>$6.76</t>
  </si>
  <si>
    <t>$6.35</t>
  </si>
  <si>
    <t>$6.01</t>
  </si>
  <si>
    <t>$7.60</t>
  </si>
  <si>
    <t>$7.45</t>
  </si>
  <si>
    <t>$7.43</t>
  </si>
  <si>
    <t>$6.70</t>
  </si>
  <si>
    <t>$6.31</t>
  </si>
  <si>
    <t>$6.29</t>
  </si>
  <si>
    <t>$5.96</t>
  </si>
  <si>
    <t>$6.02</t>
  </si>
  <si>
    <t>$7.57</t>
  </si>
  <si>
    <t>$7.42</t>
  </si>
  <si>
    <t>$6.69</t>
  </si>
  <si>
    <t>$6.30</t>
  </si>
  <si>
    <t>$7.90</t>
  </si>
  <si>
    <t>$6.78</t>
  </si>
  <si>
    <t>$8.65</t>
  </si>
  <si>
    <t>$7.40</t>
  </si>
  <si>
    <t>$7.38</t>
  </si>
  <si>
    <t>$6.64</t>
  </si>
  <si>
    <t>$6.24</t>
  </si>
  <si>
    <t>$5.93</t>
  </si>
  <si>
    <t>$6.00</t>
  </si>
  <si>
    <t>$8.86</t>
  </si>
  <si>
    <t>$5.95</t>
  </si>
  <si>
    <t>$5.76</t>
  </si>
  <si>
    <t>$5.90</t>
  </si>
  <si>
    <t>$7.78</t>
  </si>
  <si>
    <t>$6.03</t>
  </si>
  <si>
    <t>$9.14</t>
  </si>
  <si>
    <t>$7.65</t>
  </si>
  <si>
    <t>$7.59</t>
  </si>
  <si>
    <t>$5.99</t>
  </si>
  <si>
    <t>$7.63</t>
  </si>
  <si>
    <t>$7.36</t>
  </si>
  <si>
    <t>$6.60</t>
  </si>
  <si>
    <t>$6.20</t>
  </si>
  <si>
    <t>$5.89</t>
  </si>
  <si>
    <t>$9.03</t>
  </si>
  <si>
    <t>$7.87</t>
  </si>
  <si>
    <t>$7.04</t>
  </si>
  <si>
    <t>$7.20</t>
  </si>
  <si>
    <t>$6.14</t>
  </si>
  <si>
    <t>$5.91</t>
  </si>
  <si>
    <t>$7.11</t>
  </si>
  <si>
    <t>$6.52</t>
  </si>
  <si>
    <t>$5.82</t>
  </si>
  <si>
    <t>$5.87</t>
  </si>
  <si>
    <t>$6.96</t>
  </si>
  <si>
    <t>$7.12</t>
  </si>
  <si>
    <t>$7.17</t>
  </si>
  <si>
    <t>$6.83</t>
  </si>
  <si>
    <t>$5.81</t>
  </si>
  <si>
    <t>$8.10</t>
  </si>
  <si>
    <t>$6.89</t>
  </si>
  <si>
    <t>$7.05</t>
  </si>
  <si>
    <t>$6.48</t>
  </si>
  <si>
    <t>$8.35</t>
  </si>
  <si>
    <t>$6.97</t>
  </si>
  <si>
    <t>$6.57</t>
  </si>
  <si>
    <t>$8.29</t>
  </si>
  <si>
    <t>$6.56</t>
  </si>
  <si>
    <t>$6.15</t>
  </si>
  <si>
    <t>$6.12</t>
  </si>
  <si>
    <t>$7.89</t>
  </si>
  <si>
    <t>$6.86</t>
  </si>
  <si>
    <t>$7.01</t>
  </si>
  <si>
    <t>$7.50</t>
  </si>
  <si>
    <t>$6.94</t>
  </si>
  <si>
    <t>$5.74</t>
  </si>
  <si>
    <t>$7.86</t>
  </si>
  <si>
    <t>$7.30</t>
  </si>
  <si>
    <t>$7.06</t>
  </si>
  <si>
    <t>$5.78</t>
  </si>
  <si>
    <t>$7.96</t>
  </si>
  <si>
    <t>$7.41</t>
  </si>
  <si>
    <t>$7.09</t>
  </si>
  <si>
    <t>$8.27</t>
  </si>
  <si>
    <t>$7.10</t>
  </si>
  <si>
    <t>$7.22</t>
  </si>
  <si>
    <t>$8.49</t>
  </si>
  <si>
    <t>$7.34</t>
  </si>
  <si>
    <t>$6.74</t>
  </si>
  <si>
    <t>$6.25</t>
  </si>
  <si>
    <t>$6.22</t>
  </si>
  <si>
    <t>$8.24</t>
  </si>
  <si>
    <t>$7.26</t>
  </si>
  <si>
    <t>$6.21</t>
  </si>
  <si>
    <t>$8.44</t>
  </si>
  <si>
    <t>$5.97</t>
  </si>
  <si>
    <t>$7.29</t>
  </si>
  <si>
    <t>$5.88</t>
  </si>
  <si>
    <t>$5.86</t>
  </si>
  <si>
    <t>$8.16</t>
  </si>
  <si>
    <t>$5.73</t>
  </si>
  <si>
    <t>$5.83</t>
  </si>
  <si>
    <t>$6.75</t>
  </si>
  <si>
    <t>$8.25</t>
  </si>
  <si>
    <t>$7.25</t>
  </si>
  <si>
    <t>$7.33</t>
  </si>
  <si>
    <t>$6.72</t>
  </si>
  <si>
    <t>$5.71</t>
  </si>
  <si>
    <t>$7.14</t>
  </si>
  <si>
    <t>$8.97</t>
  </si>
  <si>
    <t>$7.07</t>
  </si>
  <si>
    <t>$8.48</t>
  </si>
  <si>
    <t>$7.02</t>
  </si>
  <si>
    <t>$7.08</t>
  </si>
  <si>
    <t>$9.18</t>
  </si>
  <si>
    <t>$8.36</t>
  </si>
  <si>
    <t>$6.44</t>
  </si>
  <si>
    <t>$8.75</t>
  </si>
  <si>
    <t>$8.00</t>
  </si>
  <si>
    <t>$6.93</t>
  </si>
  <si>
    <t>$6.27</t>
  </si>
  <si>
    <t>$8.93</t>
  </si>
  <si>
    <t>$8.20</t>
  </si>
  <si>
    <t>$6.80</t>
  </si>
  <si>
    <t>$6.36</t>
  </si>
  <si>
    <t>$6.88</t>
  </si>
  <si>
    <t>$8.01</t>
  </si>
  <si>
    <t>$6.90</t>
  </si>
  <si>
    <t>$7.00</t>
  </si>
  <si>
    <t>$6.49</t>
  </si>
  <si>
    <t>$8.38</t>
  </si>
  <si>
    <t>$6.51</t>
  </si>
  <si>
    <t>$6.68</t>
  </si>
  <si>
    <t>$7.18</t>
  </si>
  <si>
    <t>$7.27</t>
  </si>
  <si>
    <t>$6.46</t>
  </si>
  <si>
    <t>$7.32</t>
  </si>
  <si>
    <t>$9.73</t>
  </si>
  <si>
    <t>$7.47</t>
  </si>
  <si>
    <t>$9.57</t>
  </si>
  <si>
    <t>$6.59</t>
  </si>
  <si>
    <t>$6.58</t>
  </si>
  <si>
    <t>$10.26</t>
  </si>
  <si>
    <t>$7.46</t>
  </si>
  <si>
    <t>$7.76</t>
  </si>
  <si>
    <t>$7.19</t>
  </si>
  <si>
    <t>$9.47</t>
  </si>
  <si>
    <t>$7.37</t>
  </si>
  <si>
    <t>$9.37</t>
  </si>
  <si>
    <t>$6.87</t>
  </si>
  <si>
    <t>$5.59</t>
  </si>
  <si>
    <t>$9.15</t>
  </si>
  <si>
    <t>$5.98</t>
  </si>
  <si>
    <t>$5.61</t>
  </si>
  <si>
    <t>$7.16</t>
  </si>
  <si>
    <t>$7.24</t>
  </si>
  <si>
    <t>$6.71</t>
  </si>
  <si>
    <t>$6.06</t>
  </si>
  <si>
    <t>$9.70</t>
  </si>
  <si>
    <t>$9.31</t>
  </si>
  <si>
    <t>$7.74</t>
  </si>
  <si>
    <t>$6.34</t>
  </si>
  <si>
    <t>$7.71</t>
  </si>
  <si>
    <t>$6.65</t>
  </si>
  <si>
    <t>$10.88</t>
  </si>
  <si>
    <t>$10.27</t>
  </si>
  <si>
    <t>$9.53</t>
  </si>
  <si>
    <t>$7.28</t>
  </si>
  <si>
    <t>$9.40</t>
  </si>
  <si>
    <t>$8.43</t>
  </si>
  <si>
    <t>$8.04</t>
  </si>
  <si>
    <t>$7.56</t>
  </si>
  <si>
    <t>$7.88</t>
  </si>
  <si>
    <t>$7.84</t>
  </si>
  <si>
    <t>$6.33</t>
  </si>
  <si>
    <t>$6.67</t>
  </si>
  <si>
    <t>$7.75</t>
  </si>
  <si>
    <t>$7.55</t>
  </si>
  <si>
    <t>$8.30</t>
  </si>
  <si>
    <t>$7.82</t>
  </si>
  <si>
    <t>$7.48</t>
  </si>
  <si>
    <t>$6.66</t>
  </si>
  <si>
    <t>$7.64</t>
  </si>
  <si>
    <t>$7.68</t>
  </si>
  <si>
    <t>$6.84</t>
  </si>
  <si>
    <t>$8.33</t>
  </si>
  <si>
    <t>$6.85</t>
  </si>
  <si>
    <t>$8.28</t>
  </si>
  <si>
    <t>$8.53</t>
  </si>
  <si>
    <t>$8.17</t>
  </si>
  <si>
    <t>$8.56</t>
  </si>
  <si>
    <t>$8.32</t>
  </si>
  <si>
    <t>$7.95</t>
  </si>
  <si>
    <t>$8.47</t>
  </si>
  <si>
    <t>$9.22</t>
  </si>
  <si>
    <t>$9.51</t>
  </si>
  <si>
    <t>$9.35</t>
  </si>
  <si>
    <t>$5.94</t>
  </si>
  <si>
    <t>$9.04</t>
  </si>
  <si>
    <t>$9.30</t>
  </si>
  <si>
    <t>$9.00</t>
  </si>
  <si>
    <t>$7.31</t>
  </si>
  <si>
    <t>$6.99</t>
  </si>
  <si>
    <t>$8.62</t>
  </si>
  <si>
    <t>$8.81</t>
  </si>
  <si>
    <t>$7.99</t>
  </si>
  <si>
    <t>$7.15</t>
  </si>
  <si>
    <t>$8.06</t>
  </si>
  <si>
    <t>$8.07</t>
  </si>
  <si>
    <t>$8.02</t>
  </si>
  <si>
    <t>$7.85</t>
  </si>
  <si>
    <t>$8.12</t>
  </si>
  <si>
    <t>$7.94</t>
  </si>
  <si>
    <t>$8.85</t>
  </si>
  <si>
    <t>$9.34</t>
  </si>
  <si>
    <t>$9.02</t>
  </si>
  <si>
    <t>$8.96</t>
  </si>
  <si>
    <t>$10.31</t>
  </si>
  <si>
    <t>$7.49</t>
  </si>
  <si>
    <t>$7.39</t>
  </si>
  <si>
    <t>$8.11</t>
  </si>
  <si>
    <t>$7.77</t>
  </si>
  <si>
    <t>$9.41</t>
  </si>
  <si>
    <t>$8.21</t>
  </si>
  <si>
    <t>$7.91</t>
  </si>
  <si>
    <t>$9.56</t>
  </si>
  <si>
    <t>$11.52</t>
  </si>
  <si>
    <t>$6.81</t>
  </si>
  <si>
    <t>$8.15</t>
  </si>
  <si>
    <t>$7.79</t>
  </si>
  <si>
    <t>$7.69</t>
  </si>
  <si>
    <t>$7.21</t>
  </si>
  <si>
    <t>$6.73</t>
  </si>
  <si>
    <t>$8.22</t>
  </si>
  <si>
    <t>$8.39</t>
  </si>
  <si>
    <t>$8.37</t>
  </si>
  <si>
    <t>$8.40</t>
  </si>
  <si>
    <t>$8.41</t>
  </si>
  <si>
    <t>$9.29</t>
  </si>
  <si>
    <t>$8.58</t>
  </si>
  <si>
    <t>$8.80</t>
  </si>
  <si>
    <t>$7.13</t>
  </si>
  <si>
    <t>$10.37</t>
  </si>
  <si>
    <t>$8.31</t>
  </si>
  <si>
    <t>$7.98</t>
  </si>
  <si>
    <t>$8.09</t>
  </si>
  <si>
    <t>$8.42</t>
  </si>
  <si>
    <t>$10.20</t>
  </si>
  <si>
    <t>$9.11</t>
  </si>
  <si>
    <t>$8.69</t>
  </si>
  <si>
    <t>$8.61</t>
  </si>
  <si>
    <t>$9.38</t>
  </si>
  <si>
    <t>$11.66</t>
  </si>
  <si>
    <t>$8.55</t>
  </si>
  <si>
    <t>$8.76</t>
  </si>
  <si>
    <t>$8.59</t>
  </si>
  <si>
    <t>$8.34</t>
  </si>
  <si>
    <t>$9.49</t>
  </si>
  <si>
    <t>$9.46</t>
  </si>
  <si>
    <t>$8.78</t>
  </si>
  <si>
    <t>$7.93</t>
  </si>
  <si>
    <t>$10.36</t>
  </si>
  <si>
    <t>$7.61</t>
  </si>
  <si>
    <t>2024_PSE_Goldendale_adders</t>
  </si>
  <si>
    <t>2024_PSE_Mint_Farm_adders</t>
  </si>
  <si>
    <t>2024_PSE_Ferndale_adders</t>
  </si>
  <si>
    <t>2024_PSE_Encogen_adders</t>
  </si>
  <si>
    <t>2024_PSE_Sumas_adders</t>
  </si>
  <si>
    <t>2024_PSE_Freddy_1_adders</t>
  </si>
  <si>
    <t>2024_PSE_Frederickson_1&amp;2_adders</t>
  </si>
  <si>
    <t>2024_PSE_Whitehorn_adders</t>
  </si>
  <si>
    <t>22GRC - Compliance Filing</t>
  </si>
  <si>
    <t>Cascade Gross Revenue Fee (%)</t>
  </si>
  <si>
    <t>Cascade system balancing charge/MMBtu</t>
  </si>
  <si>
    <t>NWP Evergreen</t>
  </si>
  <si>
    <t>$8.77</t>
  </si>
  <si>
    <t>$1.42</t>
  </si>
  <si>
    <t>$1.75</t>
  </si>
  <si>
    <t>$1.88</t>
  </si>
  <si>
    <t>$1.99</t>
  </si>
  <si>
    <t>$2.29</t>
  </si>
  <si>
    <t>$2.26</t>
  </si>
  <si>
    <t>$2.15</t>
  </si>
  <si>
    <t>$2.10</t>
  </si>
  <si>
    <t>$2.05</t>
  </si>
  <si>
    <t>$2.08</t>
  </si>
  <si>
    <t>$2.12</t>
  </si>
  <si>
    <t>$1.35</t>
  </si>
  <si>
    <t>$1.50</t>
  </si>
  <si>
    <t>$1.59</t>
  </si>
  <si>
    <t>$2.17</t>
  </si>
  <si>
    <t>$1.68</t>
  </si>
  <si>
    <t>$1.58</t>
  </si>
  <si>
    <t>$1.53</t>
  </si>
  <si>
    <t>$1.49</t>
  </si>
  <si>
    <t>$1.55</t>
  </si>
  <si>
    <t>$1.71</t>
  </si>
  <si>
    <t>$2.27</t>
  </si>
  <si>
    <t>9/5/2023</t>
  </si>
  <si>
    <t>$11.15</t>
  </si>
  <si>
    <t>9/1/2023</t>
  </si>
  <si>
    <t>$11.62</t>
  </si>
  <si>
    <t>8/31/2023</t>
  </si>
  <si>
    <t>$10.70</t>
  </si>
  <si>
    <t>8/30/2023</t>
  </si>
  <si>
    <t>$10.56</t>
  </si>
  <si>
    <t>$11.57</t>
  </si>
  <si>
    <t>$8.63</t>
  </si>
  <si>
    <t>8/29/2023</t>
  </si>
  <si>
    <t>$11.39</t>
  </si>
  <si>
    <t>8/28/2023</t>
  </si>
  <si>
    <t>$11.44</t>
  </si>
  <si>
    <t>$8.54</t>
  </si>
  <si>
    <t>8/25/2023</t>
  </si>
  <si>
    <t>$11.60</t>
  </si>
  <si>
    <t>8/24/2023</t>
  </si>
  <si>
    <t>8/23/2023</t>
  </si>
  <si>
    <t>$11.70</t>
  </si>
  <si>
    <t>8/22/2023</t>
  </si>
  <si>
    <t>$11.72</t>
  </si>
  <si>
    <t>$9.20</t>
  </si>
  <si>
    <t>8/21/2023</t>
  </si>
  <si>
    <t>$11.85</t>
  </si>
  <si>
    <t>$9.32</t>
  </si>
  <si>
    <t>$8.79</t>
  </si>
  <si>
    <t>8/18/2023</t>
  </si>
  <si>
    <t>8/17/2023</t>
  </si>
  <si>
    <t>$11.89</t>
  </si>
  <si>
    <t>8/16/2023</t>
  </si>
  <si>
    <t>$8.83</t>
  </si>
  <si>
    <t>8/15/2023</t>
  </si>
  <si>
    <t>$12.26</t>
  </si>
  <si>
    <t>8/14/2023</t>
  </si>
  <si>
    <t>$12.13</t>
  </si>
  <si>
    <t>$12.48</t>
  </si>
  <si>
    <t>8/11/2023</t>
  </si>
  <si>
    <t>$12.51</t>
  </si>
  <si>
    <t>$10.61</t>
  </si>
  <si>
    <t>$8.90</t>
  </si>
  <si>
    <t>8/10/2023</t>
  </si>
  <si>
    <t>8/9/2023</t>
  </si>
  <si>
    <t>$11.95</t>
  </si>
  <si>
    <t>8/8/2023</t>
  </si>
  <si>
    <t>$11.31</t>
  </si>
  <si>
    <t>$9.79</t>
  </si>
  <si>
    <t>8/7/2023</t>
  </si>
  <si>
    <t>8/4/2023</t>
  </si>
  <si>
    <t>$11.11</t>
  </si>
  <si>
    <t>8/3/2023</t>
  </si>
  <si>
    <t>$11.09</t>
  </si>
  <si>
    <t>8/2/2023</t>
  </si>
  <si>
    <t>8/1/2023</t>
  </si>
  <si>
    <t>$10.78</t>
  </si>
  <si>
    <t>7/31/2023</t>
  </si>
  <si>
    <t>$10.86</t>
  </si>
  <si>
    <t>7/28/2023</t>
  </si>
  <si>
    <t>$11.12</t>
  </si>
  <si>
    <t>7/27/2023</t>
  </si>
  <si>
    <t>7/26/2023</t>
  </si>
  <si>
    <t>$10.82</t>
  </si>
  <si>
    <t>$9.55</t>
  </si>
  <si>
    <t>7/25/2023</t>
  </si>
  <si>
    <t>$10.80</t>
  </si>
  <si>
    <t>7/24/2023</t>
  </si>
  <si>
    <t>$10.75</t>
  </si>
  <si>
    <t>7/21/2023</t>
  </si>
  <si>
    <t>$10.52</t>
  </si>
  <si>
    <t>7/20/2023</t>
  </si>
  <si>
    <t>$10.50</t>
  </si>
  <si>
    <t>7/19/2023</t>
  </si>
  <si>
    <t>7/18/2023</t>
  </si>
  <si>
    <t>7/17/2023</t>
  </si>
  <si>
    <t>7/14/2023</t>
  </si>
  <si>
    <t>$9.66</t>
  </si>
  <si>
    <t>7/13/2023</t>
  </si>
  <si>
    <t>7/12/2023</t>
  </si>
  <si>
    <t>7/11/2023</t>
  </si>
  <si>
    <t>7/10/2023</t>
  </si>
  <si>
    <t>$9.52</t>
  </si>
  <si>
    <t>7/7/2023</t>
  </si>
  <si>
    <t>7/6/2023</t>
  </si>
  <si>
    <t>$9.48</t>
  </si>
  <si>
    <t>7/5/2023</t>
  </si>
  <si>
    <t>7/3/2023</t>
  </si>
  <si>
    <t>6/30/2023</t>
  </si>
  <si>
    <t>6/29/2023</t>
  </si>
  <si>
    <t>6/28/2023</t>
  </si>
  <si>
    <t>6/27/2023</t>
  </si>
  <si>
    <t>6/26/2023</t>
  </si>
  <si>
    <t>6/23/2023</t>
  </si>
  <si>
    <t>6/22/2023</t>
  </si>
  <si>
    <t>6/21/2023</t>
  </si>
  <si>
    <t>6/20/2023</t>
  </si>
  <si>
    <t>6/16/2023</t>
  </si>
  <si>
    <t>6/15/2023</t>
  </si>
  <si>
    <t>6/14/2023</t>
  </si>
  <si>
    <t>6/13/2023</t>
  </si>
  <si>
    <t>6/12/2023</t>
  </si>
  <si>
    <t>6/9/2023</t>
  </si>
  <si>
    <t>6/8/2023</t>
  </si>
  <si>
    <t>6/7/2023</t>
  </si>
  <si>
    <t>$2.21</t>
  </si>
  <si>
    <t>$2.11</t>
  </si>
  <si>
    <t>$2.07</t>
  </si>
  <si>
    <t>$2.09</t>
  </si>
  <si>
    <t>$2.00</t>
  </si>
  <si>
    <t>$2.28</t>
  </si>
  <si>
    <t>$2.19</t>
  </si>
  <si>
    <t>$2.18</t>
  </si>
  <si>
    <t>$2.13</t>
  </si>
  <si>
    <t>$1.98</t>
  </si>
  <si>
    <t>$2.14</t>
  </si>
  <si>
    <t>$2.20</t>
  </si>
  <si>
    <t>$2.16</t>
  </si>
  <si>
    <t>$1.96</t>
  </si>
  <si>
    <t>$1.97</t>
  </si>
  <si>
    <t>$1.94</t>
  </si>
  <si>
    <t>$2.03</t>
  </si>
  <si>
    <t>$2.23</t>
  </si>
  <si>
    <t>$2.02</t>
  </si>
  <si>
    <t>$2.24</t>
  </si>
  <si>
    <t>$1.93</t>
  </si>
  <si>
    <t>$2.06</t>
  </si>
  <si>
    <t>$1.84</t>
  </si>
  <si>
    <t>$1.90</t>
  </si>
  <si>
    <t>$2.04</t>
  </si>
  <si>
    <t>$1.87</t>
  </si>
  <si>
    <t>$1.95</t>
  </si>
  <si>
    <t>$1.91</t>
  </si>
  <si>
    <t>$2.01</t>
  </si>
  <si>
    <t>$2.22</t>
  </si>
  <si>
    <t>$1.89</t>
  </si>
  <si>
    <t>$1.81</t>
  </si>
  <si>
    <t>$1.82</t>
  </si>
  <si>
    <t>$1.92</t>
  </si>
  <si>
    <t>$1.77</t>
  </si>
  <si>
    <t>$1.72</t>
  </si>
  <si>
    <t>$1.73</t>
  </si>
  <si>
    <t>$1.85</t>
  </si>
  <si>
    <t>$1.78</t>
  </si>
  <si>
    <t>$1.80</t>
  </si>
  <si>
    <t>$1.70</t>
  </si>
  <si>
    <t>$1.83</t>
  </si>
  <si>
    <t>$1.86</t>
  </si>
  <si>
    <t>$1.74</t>
  </si>
  <si>
    <t>$1.48</t>
  </si>
  <si>
    <t>$1.52</t>
  </si>
  <si>
    <t>$1.46</t>
  </si>
  <si>
    <t>$1.76</t>
  </si>
  <si>
    <t>$1.41</t>
  </si>
  <si>
    <t>$1.65</t>
  </si>
  <si>
    <t>$1.45</t>
  </si>
  <si>
    <t>$1.66</t>
  </si>
  <si>
    <t>$1.39</t>
  </si>
  <si>
    <t>$1.54</t>
  </si>
  <si>
    <t>$1.56</t>
  </si>
  <si>
    <t>$1.40</t>
  </si>
  <si>
    <t>$1.57</t>
  </si>
  <si>
    <t>$1.30</t>
  </si>
  <si>
    <t>$1.47</t>
  </si>
  <si>
    <t>$1.24</t>
  </si>
  <si>
    <t>$1.37</t>
  </si>
  <si>
    <t>$1.60</t>
  </si>
  <si>
    <t>$1.32</t>
  </si>
  <si>
    <t>$1.43</t>
  </si>
  <si>
    <t>$1.51</t>
  </si>
  <si>
    <t>$1.63</t>
  </si>
  <si>
    <t>$1.62</t>
  </si>
  <si>
    <t>$1.69</t>
  </si>
  <si>
    <t>$1.64</t>
  </si>
  <si>
    <t>$1.67</t>
  </si>
  <si>
    <t>$1.61</t>
  </si>
  <si>
    <t>$1.79</t>
  </si>
  <si>
    <t>$1.44</t>
  </si>
  <si>
    <t>$1.28</t>
  </si>
  <si>
    <t>$1.31</t>
  </si>
  <si>
    <t>$1.33</t>
  </si>
  <si>
    <t>$1.34</t>
  </si>
  <si>
    <t>$1.38</t>
  </si>
  <si>
    <t>$1.36</t>
  </si>
  <si>
    <t>$1.25</t>
  </si>
  <si>
    <t>$1.27</t>
  </si>
  <si>
    <t>$1.29</t>
  </si>
  <si>
    <t>2024_PSE_Fredonia_adders</t>
  </si>
  <si>
    <t>2024 Power Cost Update Filing</t>
  </si>
  <si>
    <t>6/7/2023 through 9/5/2023</t>
  </si>
  <si>
    <t>Forward Gas Prices for 3 months ended 9/5/2023</t>
  </si>
  <si>
    <t>2024 Power Cost Update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</si>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</sst>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* #,##0.00000_);_(* \(#,##0.00000\);_(* &quot;-&quot;??_);_(@_)"/>
    <numFmt numFmtId="167" formatCode="0.000000"/>
    <numFmt numFmtId="168" formatCode="0.0000000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0.00_)"/>
    <numFmt numFmtId="174" formatCode="&quot;$&quot;#,##0;\-&quot;$&quot;#,##0"/>
    <numFmt numFmtId="175" formatCode="0000000"/>
    <numFmt numFmtId="176" formatCode="0.0000%"/>
    <numFmt numFmtId="177" formatCode="_(&quot;$&quot;* #,##0_);_(&quot;$&quot;* \(#,##0\);_(&quot;$&quot;* &quot;-&quot;??_);_(@_)"/>
    <numFmt numFmtId="178" formatCode="mmm\-yyyy"/>
    <numFmt numFmtId="179" formatCode="_(* #,##0.0_);_(* \(#,##0.0\);_(* &quot;-&quot;??_);_(@_)"/>
    <numFmt numFmtId="180" formatCode="_(&quot;$&quot;* #,##0.0000_);_(&quot;$&quot;* \(#,##0.0000\);_(&quot;$&quot;* &quot;-&quot;????_);_(@_)"/>
    <numFmt numFmtId="181" formatCode="_(* #,##0.0_);_(* \(#,##0.0\);_(* &quot;-&quot;_);_(@_)"/>
    <numFmt numFmtId="182" formatCode="_(&quot;$&quot;* #,##0.000_);_(&quot;$&quot;* \(#,##0.000\);_(&quot;$&quot;* &quot;-&quot;??_);_(@_)"/>
    <numFmt numFmtId="183" formatCode="[$-409]d\-mmm\-yy;@"/>
    <numFmt numFmtId="184" formatCode="&quot;$&quot;#,##0.00"/>
    <numFmt numFmtId="185" formatCode="&quot;$&quot;#,##0.0000_);[Red]\(&quot;$&quot;#,##0.0000\)"/>
    <numFmt numFmtId="186" formatCode="0.000%"/>
    <numFmt numFmtId="187" formatCode="&quot;$&quot;#,##0.0000"/>
    <numFmt numFmtId="188" formatCode="&quot;$&quot;#,##0.00000_);[Red]\(&quot;$&quot;#,##0.00000\)"/>
    <numFmt numFmtId="189" formatCode="0.000"/>
    <numFmt numFmtId="190" formatCode="#,##0.00000_);\(#,##0.00000\)"/>
  </numFmts>
  <fonts count="6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univers (E1)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Geneva"/>
    </font>
    <font>
      <sz val="8"/>
      <name val="Helv"/>
    </font>
    <font>
      <sz val="8.25"/>
      <name val="Microsoft Sans Serif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125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" fontId="5" fillId="2" borderId="2" applyNumberFormat="0" applyProtection="0">
      <alignment vertical="center"/>
    </xf>
    <xf numFmtId="4" fontId="5" fillId="3" borderId="2" applyNumberFormat="0" applyProtection="0">
      <alignment horizontal="left" vertical="center" indent="1"/>
    </xf>
    <xf numFmtId="4" fontId="5" fillId="4" borderId="2" applyNumberFormat="0" applyProtection="0">
      <alignment horizontal="left" vertical="center" indent="1"/>
    </xf>
    <xf numFmtId="4" fontId="5" fillId="0" borderId="2" applyNumberFormat="0" applyProtection="0">
      <alignment horizontal="right" vertical="center"/>
    </xf>
    <xf numFmtId="4" fontId="5" fillId="4" borderId="2" applyNumberFormat="0" applyProtection="0">
      <alignment horizontal="left" vertical="center" inden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6" fillId="0" borderId="0"/>
    <xf numFmtId="0" fontId="6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6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6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6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9" fontId="10" fillId="0" borderId="0" applyFill="0" applyBorder="0" applyAlignment="0"/>
    <xf numFmtId="41" fontId="3" fillId="22" borderId="0"/>
    <xf numFmtId="0" fontId="11" fillId="23" borderId="3" applyNumberFormat="0" applyAlignment="0" applyProtection="0"/>
    <xf numFmtId="0" fontId="12" fillId="24" borderId="4" applyNumberFormat="0" applyAlignment="0" applyProtection="0"/>
    <xf numFmtId="0" fontId="12" fillId="24" borderId="4" applyNumberFormat="0" applyAlignment="0" applyProtection="0"/>
    <xf numFmtId="41" fontId="3" fillId="25" borderId="0"/>
    <xf numFmtId="43" fontId="3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70" fontId="18" fillId="0" borderId="0">
      <protection locked="0"/>
    </xf>
    <xf numFmtId="0" fontId="16" fillId="0" borderId="0"/>
    <xf numFmtId="0" fontId="19" fillId="0" borderId="0" applyNumberFormat="0" applyAlignment="0">
      <alignment horizontal="left"/>
    </xf>
    <xf numFmtId="0" fontId="20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8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7" fontId="3" fillId="0" borderId="0"/>
    <xf numFmtId="172" fontId="3" fillId="0" borderId="0" applyFon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15" fillId="0" borderId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0" fontId="4" fillId="0" borderId="5" applyNumberFormat="0" applyAlignment="0" applyProtection="0">
      <alignment horizontal="left"/>
    </xf>
    <xf numFmtId="0" fontId="4" fillId="0" borderId="6">
      <alignment horizontal="left"/>
    </xf>
    <xf numFmtId="0" fontId="14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38" fontId="26" fillId="0" borderId="0"/>
    <xf numFmtId="40" fontId="26" fillId="0" borderId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0" fontId="27" fillId="10" borderId="3" applyNumberFormat="0" applyAlignment="0" applyProtection="0"/>
    <xf numFmtId="0" fontId="27" fillId="10" borderId="3" applyNumberFormat="0" applyAlignment="0" applyProtection="0"/>
    <xf numFmtId="41" fontId="28" fillId="3" borderId="11">
      <alignment horizontal="left"/>
      <protection locked="0"/>
    </xf>
    <xf numFmtId="10" fontId="28" fillId="3" borderId="11">
      <alignment horizontal="right"/>
      <protection locked="0"/>
    </xf>
    <xf numFmtId="41" fontId="28" fillId="3" borderId="11">
      <alignment horizontal="left"/>
      <protection locked="0"/>
    </xf>
    <xf numFmtId="0" fontId="5" fillId="25" borderId="0"/>
    <xf numFmtId="3" fontId="29" fillId="0" borderId="0" applyFill="0" applyBorder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37" fontId="33" fillId="0" borderId="0"/>
    <xf numFmtId="173" fontId="34" fillId="0" borderId="0"/>
    <xf numFmtId="174" fontId="3" fillId="0" borderId="0"/>
    <xf numFmtId="174" fontId="3" fillId="0" borderId="0"/>
    <xf numFmtId="174" fontId="3" fillId="0" borderId="0"/>
    <xf numFmtId="175" fontId="35" fillId="0" borderId="0"/>
    <xf numFmtId="166" fontId="3" fillId="0" borderId="0">
      <alignment horizontal="left" wrapText="1"/>
    </xf>
    <xf numFmtId="37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176" fontId="3" fillId="0" borderId="0">
      <alignment horizontal="left" wrapText="1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" fillId="0" borderId="0"/>
    <xf numFmtId="0" fontId="3" fillId="0" borderId="0"/>
    <xf numFmtId="0" fontId="3" fillId="0" borderId="0"/>
    <xf numFmtId="177" fontId="3" fillId="0" borderId="0">
      <alignment horizontal="left" wrapText="1"/>
    </xf>
    <xf numFmtId="0" fontId="3" fillId="0" borderId="0"/>
    <xf numFmtId="0" fontId="3" fillId="0" borderId="0"/>
    <xf numFmtId="178" fontId="36" fillId="0" borderId="0">
      <alignment horizontal="left" wrapText="1"/>
    </xf>
    <xf numFmtId="0" fontId="3" fillId="0" borderId="0"/>
    <xf numFmtId="179" fontId="36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6" fillId="0" borderId="0">
      <alignment horizontal="left" wrapText="1"/>
    </xf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38" fillId="23" borderId="16" applyNumberFormat="0" applyAlignment="0" applyProtection="0"/>
    <xf numFmtId="0" fontId="38" fillId="23" borderId="16" applyNumberFormat="0" applyAlignment="0" applyProtection="0"/>
    <xf numFmtId="0" fontId="15" fillId="0" borderId="0"/>
    <xf numFmtId="0" fontId="15" fillId="0" borderId="0"/>
    <xf numFmtId="0" fontId="16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3" fillId="27" borderId="11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0" fillId="0" borderId="17">
      <alignment horizontal="center"/>
    </xf>
    <xf numFmtId="3" fontId="39" fillId="0" borderId="0" applyFont="0" applyFill="0" applyBorder="0" applyAlignment="0" applyProtection="0"/>
    <xf numFmtId="0" fontId="39" fillId="28" borderId="0" applyNumberFormat="0" applyFont="0" applyBorder="0" applyAlignment="0" applyProtection="0"/>
    <xf numFmtId="0" fontId="16" fillId="0" borderId="0"/>
    <xf numFmtId="3" fontId="41" fillId="0" borderId="0" applyFill="0" applyBorder="0" applyAlignment="0" applyProtection="0"/>
    <xf numFmtId="0" fontId="42" fillId="0" borderId="0"/>
    <xf numFmtId="3" fontId="41" fillId="0" borderId="0" applyFill="0" applyBorder="0" applyAlignment="0" applyProtection="0"/>
    <xf numFmtId="42" fontId="3" fillId="22" borderId="0"/>
    <xf numFmtId="42" fontId="3" fillId="22" borderId="18">
      <alignment vertical="center"/>
    </xf>
    <xf numFmtId="0" fontId="31" fillId="22" borderId="1" applyNumberFormat="0">
      <alignment horizontal="center" vertical="center" wrapText="1"/>
    </xf>
    <xf numFmtId="10" fontId="3" fillId="22" borderId="0"/>
    <xf numFmtId="180" fontId="3" fillId="22" borderId="0"/>
    <xf numFmtId="42" fontId="3" fillId="22" borderId="0"/>
    <xf numFmtId="165" fontId="26" fillId="0" borderId="0" applyBorder="0" applyAlignment="0"/>
    <xf numFmtId="42" fontId="3" fillId="22" borderId="19">
      <alignment horizontal="left"/>
    </xf>
    <xf numFmtId="180" fontId="43" fillId="22" borderId="19">
      <alignment horizontal="left"/>
    </xf>
    <xf numFmtId="165" fontId="26" fillId="0" borderId="0" applyBorder="0" applyAlignment="0"/>
    <xf numFmtId="14" fontId="36" fillId="0" borderId="0" applyNumberFormat="0" applyFill="0" applyBorder="0" applyAlignment="0" applyProtection="0">
      <alignment horizontal="left"/>
    </xf>
    <xf numFmtId="181" fontId="3" fillId="0" borderId="0" applyFont="0" applyFill="0" applyAlignment="0">
      <alignment horizontal="right"/>
    </xf>
    <xf numFmtId="39" fontId="3" fillId="29" borderId="0"/>
    <xf numFmtId="38" fontId="5" fillId="0" borderId="20"/>
    <xf numFmtId="38" fontId="5" fillId="0" borderId="20"/>
    <xf numFmtId="38" fontId="5" fillId="0" borderId="20"/>
    <xf numFmtId="38" fontId="5" fillId="0" borderId="20"/>
    <xf numFmtId="38" fontId="5" fillId="0" borderId="20"/>
    <xf numFmtId="38" fontId="26" fillId="0" borderId="19"/>
    <xf numFmtId="39" fontId="36" fillId="30" borderId="0"/>
    <xf numFmtId="0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82" fontId="3" fillId="0" borderId="0">
      <alignment horizontal="left" wrapText="1"/>
    </xf>
    <xf numFmtId="183" fontId="3" fillId="0" borderId="0">
      <alignment horizontal="left" wrapText="1"/>
    </xf>
    <xf numFmtId="40" fontId="44" fillId="0" borderId="0" applyBorder="0">
      <alignment horizontal="right"/>
    </xf>
    <xf numFmtId="41" fontId="45" fillId="22" borderId="0">
      <alignment horizontal="left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4" fontId="47" fillId="22" borderId="0">
      <alignment horizontal="left" vertical="center"/>
    </xf>
    <xf numFmtId="0" fontId="31" fillId="22" borderId="0">
      <alignment horizontal="left" wrapText="1"/>
    </xf>
    <xf numFmtId="0" fontId="48" fillId="0" borderId="0">
      <alignment horizontal="left" vertical="center"/>
    </xf>
    <xf numFmtId="0" fontId="14" fillId="0" borderId="21" applyNumberFormat="0" applyFont="0" applyFill="0" applyAlignment="0" applyProtection="0"/>
    <xf numFmtId="0" fontId="49" fillId="0" borderId="22" applyNumberFormat="0" applyFill="0" applyAlignment="0" applyProtection="0"/>
    <xf numFmtId="0" fontId="16" fillId="0" borderId="23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</cellStyleXfs>
  <cellXfs count="131">
    <xf numFmtId="0" fontId="0" fillId="0" borderId="0" xfId="0"/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right"/>
    </xf>
    <xf numFmtId="184" fontId="0" fillId="0" borderId="0" xfId="0" applyNumberFormat="1"/>
    <xf numFmtId="0" fontId="0" fillId="0" borderId="0" xfId="0" applyFont="1"/>
    <xf numFmtId="0" fontId="0" fillId="0" borderId="0" xfId="0" applyFont="1" applyAlignment="1">
      <alignment horizontal="right"/>
    </xf>
    <xf numFmtId="164" fontId="0" fillId="0" borderId="0" xfId="0" applyNumberFormat="1" applyFont="1" applyAlignment="1">
      <alignment horizontal="center"/>
    </xf>
    <xf numFmtId="8" fontId="0" fillId="0" borderId="0" xfId="0" applyNumberFormat="1" applyFont="1"/>
    <xf numFmtId="8" fontId="1" fillId="0" borderId="0" xfId="0" applyNumberFormat="1" applyFont="1"/>
    <xf numFmtId="0" fontId="52" fillId="0" borderId="0" xfId="0" applyFont="1"/>
    <xf numFmtId="0" fontId="0" fillId="0" borderId="10" xfId="0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53" fillId="0" borderId="0" xfId="0" applyNumberFormat="1" applyFont="1" applyAlignment="1"/>
    <xf numFmtId="0" fontId="54" fillId="0" borderId="0" xfId="0" applyNumberFormat="1" applyFont="1" applyAlignment="1"/>
    <xf numFmtId="0" fontId="51" fillId="0" borderId="0" xfId="0" applyNumberFormat="1" applyFont="1" applyAlignment="1"/>
    <xf numFmtId="0" fontId="55" fillId="0" borderId="0" xfId="0" applyNumberFormat="1" applyFont="1" applyAlignment="1"/>
    <xf numFmtId="0" fontId="0" fillId="0" borderId="0" xfId="0" applyNumberFormat="1" applyFont="1" applyAlignment="1">
      <alignment horizontal="right"/>
    </xf>
    <xf numFmtId="184" fontId="0" fillId="0" borderId="0" xfId="1" applyNumberFormat="1" applyFont="1" applyAlignment="1">
      <alignment horizontal="center"/>
    </xf>
    <xf numFmtId="185" fontId="0" fillId="0" borderId="0" xfId="0" applyNumberFormat="1" applyFont="1"/>
    <xf numFmtId="188" fontId="0" fillId="0" borderId="0" xfId="0" applyNumberFormat="1" applyFont="1"/>
    <xf numFmtId="0" fontId="0" fillId="0" borderId="0" xfId="0" applyFont="1" applyFill="1" applyAlignment="1">
      <alignment horizontal="right"/>
    </xf>
    <xf numFmtId="0" fontId="0" fillId="0" borderId="0" xfId="0" applyFont="1" applyFill="1"/>
    <xf numFmtId="0" fontId="57" fillId="0" borderId="0" xfId="0" applyFont="1"/>
    <xf numFmtId="0" fontId="51" fillId="0" borderId="0" xfId="0" applyNumberFormat="1" applyFont="1" applyFill="1" applyAlignment="1"/>
    <xf numFmtId="0" fontId="54" fillId="0" borderId="0" xfId="0" applyNumberFormat="1" applyFont="1" applyFill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187" fontId="0" fillId="0" borderId="25" xfId="0" applyNumberFormat="1" applyFont="1" applyBorder="1" applyAlignment="1">
      <alignment horizontal="center"/>
    </xf>
    <xf numFmtId="187" fontId="0" fillId="0" borderId="0" xfId="0" applyNumberFormat="1" applyFont="1" applyBorder="1" applyAlignment="1">
      <alignment horizontal="center"/>
    </xf>
    <xf numFmtId="187" fontId="0" fillId="0" borderId="26" xfId="0" applyNumberFormat="1" applyFont="1" applyBorder="1" applyAlignment="1">
      <alignment horizontal="center"/>
    </xf>
    <xf numFmtId="187" fontId="0" fillId="0" borderId="27" xfId="0" applyNumberFormat="1" applyFont="1" applyBorder="1" applyAlignment="1">
      <alignment horizontal="center"/>
    </xf>
    <xf numFmtId="187" fontId="0" fillId="0" borderId="1" xfId="0" applyNumberFormat="1" applyFont="1" applyBorder="1" applyAlignment="1">
      <alignment horizontal="center"/>
    </xf>
    <xf numFmtId="187" fontId="0" fillId="0" borderId="28" xfId="0" applyNumberFormat="1" applyFont="1" applyBorder="1" applyAlignment="1">
      <alignment horizontal="center"/>
    </xf>
    <xf numFmtId="0" fontId="54" fillId="0" borderId="6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0" borderId="29" xfId="0" applyNumberFormat="1" applyFont="1" applyFill="1" applyBorder="1" applyAlignment="1">
      <alignment horizontal="center"/>
    </xf>
    <xf numFmtId="0" fontId="0" fillId="0" borderId="19" xfId="0" applyNumberFormat="1" applyFont="1" applyFill="1" applyBorder="1" applyAlignment="1">
      <alignment horizontal="center"/>
    </xf>
    <xf numFmtId="0" fontId="0" fillId="0" borderId="30" xfId="0" applyNumberFormat="1" applyFont="1" applyFill="1" applyBorder="1" applyAlignment="1">
      <alignment horizontal="center"/>
    </xf>
    <xf numFmtId="0" fontId="0" fillId="0" borderId="0" xfId="0" applyNumberFormat="1" applyFont="1" applyFill="1" applyAlignment="1"/>
    <xf numFmtId="0" fontId="0" fillId="0" borderId="25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27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28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/>
    <xf numFmtId="0" fontId="0" fillId="0" borderId="0" xfId="0" applyNumberFormat="1" applyFont="1" applyAlignment="1">
      <alignment horizontal="center"/>
    </xf>
    <xf numFmtId="186" fontId="0" fillId="0" borderId="25" xfId="1251" applyNumberFormat="1" applyFont="1" applyBorder="1" applyAlignment="1">
      <alignment horizontal="center"/>
    </xf>
    <xf numFmtId="186" fontId="0" fillId="0" borderId="0" xfId="1251" applyNumberFormat="1" applyFont="1" applyBorder="1" applyAlignment="1">
      <alignment horizontal="center"/>
    </xf>
    <xf numFmtId="186" fontId="0" fillId="0" borderId="26" xfId="1251" applyNumberFormat="1" applyFont="1" applyBorder="1" applyAlignment="1">
      <alignment horizontal="center"/>
    </xf>
    <xf numFmtId="0" fontId="58" fillId="0" borderId="0" xfId="0" applyNumberFormat="1" applyFont="1" applyFill="1" applyAlignment="1">
      <alignment horizontal="right"/>
    </xf>
    <xf numFmtId="189" fontId="58" fillId="0" borderId="30" xfId="0" applyNumberFormat="1" applyFont="1" applyFill="1" applyBorder="1" applyAlignment="1"/>
    <xf numFmtId="189" fontId="58" fillId="0" borderId="26" xfId="0" applyNumberFormat="1" applyFont="1" applyFill="1" applyBorder="1" applyAlignment="1"/>
    <xf numFmtId="189" fontId="58" fillId="0" borderId="28" xfId="0" applyNumberFormat="1" applyFont="1" applyFill="1" applyBorder="1" applyAlignment="1"/>
    <xf numFmtId="10" fontId="58" fillId="0" borderId="30" xfId="0" applyNumberFormat="1" applyFont="1" applyFill="1" applyBorder="1" applyAlignment="1"/>
    <xf numFmtId="10" fontId="58" fillId="0" borderId="26" xfId="0" applyNumberFormat="1" applyFont="1" applyFill="1" applyBorder="1" applyAlignment="1"/>
    <xf numFmtId="10" fontId="58" fillId="0" borderId="28" xfId="0" applyNumberFormat="1" applyFont="1" applyFill="1" applyBorder="1" applyAlignment="1"/>
    <xf numFmtId="0" fontId="58" fillId="0" borderId="0" xfId="0" applyNumberFormat="1" applyFont="1" applyAlignment="1"/>
    <xf numFmtId="0" fontId="59" fillId="0" borderId="0" xfId="0" applyNumberFormat="1" applyFont="1" applyFill="1" applyAlignment="1">
      <alignment horizontal="left"/>
    </xf>
    <xf numFmtId="0" fontId="60" fillId="0" borderId="0" xfId="0" applyFont="1"/>
    <xf numFmtId="189" fontId="0" fillId="0" borderId="19" xfId="0" applyNumberFormat="1" applyFont="1" applyFill="1" applyBorder="1" applyAlignment="1">
      <alignment horizontal="center"/>
    </xf>
    <xf numFmtId="189" fontId="0" fillId="0" borderId="0" xfId="0" applyNumberFormat="1" applyFont="1" applyFill="1" applyBorder="1" applyAlignment="1">
      <alignment horizontal="center"/>
    </xf>
    <xf numFmtId="189" fontId="0" fillId="0" borderId="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189" fontId="0" fillId="0" borderId="29" xfId="0" applyNumberFormat="1" applyFont="1" applyFill="1" applyBorder="1" applyAlignment="1">
      <alignment horizontal="center"/>
    </xf>
    <xf numFmtId="189" fontId="0" fillId="0" borderId="25" xfId="0" applyNumberFormat="1" applyFont="1" applyFill="1" applyBorder="1" applyAlignment="1">
      <alignment horizontal="center"/>
    </xf>
    <xf numFmtId="189" fontId="0" fillId="0" borderId="26" xfId="0" applyNumberFormat="1" applyFont="1" applyFill="1" applyBorder="1" applyAlignment="1">
      <alignment horizontal="center"/>
    </xf>
    <xf numFmtId="189" fontId="0" fillId="0" borderId="27" xfId="0" applyNumberFormat="1" applyFont="1" applyFill="1" applyBorder="1" applyAlignment="1">
      <alignment horizontal="center"/>
    </xf>
    <xf numFmtId="189" fontId="0" fillId="0" borderId="28" xfId="0" applyNumberFormat="1" applyFont="1" applyFill="1" applyBorder="1" applyAlignment="1">
      <alignment horizontal="center"/>
    </xf>
    <xf numFmtId="0" fontId="59" fillId="0" borderId="0" xfId="0" applyNumberFormat="1" applyFont="1" applyAlignment="1">
      <alignment horizontal="left"/>
    </xf>
    <xf numFmtId="0" fontId="56" fillId="31" borderId="39" xfId="0" applyNumberFormat="1" applyFont="1" applyFill="1" applyBorder="1" applyAlignment="1">
      <alignment horizontal="center" wrapText="1"/>
    </xf>
    <xf numFmtId="0" fontId="56" fillId="31" borderId="40" xfId="0" applyNumberFormat="1" applyFont="1" applyFill="1" applyBorder="1" applyAlignment="1">
      <alignment horizontal="center" wrapText="1"/>
    </xf>
    <xf numFmtId="0" fontId="56" fillId="31" borderId="40" xfId="0" applyNumberFormat="1" applyFont="1" applyFill="1" applyBorder="1" applyAlignment="1">
      <alignment horizontal="center"/>
    </xf>
    <xf numFmtId="0" fontId="56" fillId="31" borderId="41" xfId="0" applyNumberFormat="1" applyFont="1" applyFill="1" applyBorder="1" applyAlignment="1">
      <alignment horizontal="center"/>
    </xf>
    <xf numFmtId="184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37" fontId="0" fillId="0" borderId="0" xfId="0" applyNumberFormat="1"/>
    <xf numFmtId="0" fontId="0" fillId="0" borderId="0" xfId="0" applyFill="1"/>
    <xf numFmtId="8" fontId="0" fillId="0" borderId="0" xfId="0" applyNumberFormat="1" applyFill="1"/>
    <xf numFmtId="190" fontId="0" fillId="0" borderId="0" xfId="0" applyNumberFormat="1"/>
    <xf numFmtId="190" fontId="0" fillId="31" borderId="31" xfId="0" applyNumberFormat="1" applyFill="1" applyBorder="1"/>
    <xf numFmtId="190" fontId="0" fillId="31" borderId="32" xfId="0" applyNumberFormat="1" applyFill="1" applyBorder="1"/>
    <xf numFmtId="190" fontId="0" fillId="31" borderId="33" xfId="0" applyNumberFormat="1" applyFill="1" applyBorder="1"/>
    <xf numFmtId="190" fontId="0" fillId="31" borderId="34" xfId="0" applyNumberFormat="1" applyFill="1" applyBorder="1"/>
    <xf numFmtId="190" fontId="0" fillId="31" borderId="0" xfId="0" applyNumberFormat="1" applyFill="1" applyBorder="1"/>
    <xf numFmtId="190" fontId="0" fillId="31" borderId="35" xfId="0" applyNumberFormat="1" applyFill="1" applyBorder="1"/>
    <xf numFmtId="190" fontId="0" fillId="31" borderId="36" xfId="0" applyNumberFormat="1" applyFill="1" applyBorder="1"/>
    <xf numFmtId="190" fontId="0" fillId="31" borderId="37" xfId="0" applyNumberFormat="1" applyFill="1" applyBorder="1"/>
    <xf numFmtId="190" fontId="0" fillId="31" borderId="38" xfId="0" applyNumberFormat="1" applyFill="1" applyBorder="1"/>
    <xf numFmtId="190" fontId="0" fillId="0" borderId="0" xfId="0" applyNumberFormat="1" applyFill="1"/>
    <xf numFmtId="0" fontId="55" fillId="0" borderId="0" xfId="0" applyNumberFormat="1" applyFont="1" applyFill="1" applyAlignment="1"/>
    <xf numFmtId="44" fontId="0" fillId="31" borderId="0" xfId="1252" applyFont="1" applyFill="1" applyBorder="1"/>
    <xf numFmtId="44" fontId="0" fillId="31" borderId="32" xfId="1252" applyFont="1" applyFill="1" applyBorder="1"/>
    <xf numFmtId="44" fontId="0" fillId="31" borderId="37" xfId="1252" applyFont="1" applyFill="1" applyBorder="1"/>
    <xf numFmtId="0" fontId="0" fillId="0" borderId="0" xfId="0" applyAlignment="1">
      <alignment horizontal="left" indent="1"/>
    </xf>
    <xf numFmtId="44" fontId="0" fillId="31" borderId="33" xfId="1252" applyFont="1" applyFill="1" applyBorder="1"/>
    <xf numFmtId="44" fontId="0" fillId="31" borderId="35" xfId="1252" applyFont="1" applyFill="1" applyBorder="1"/>
    <xf numFmtId="44" fontId="0" fillId="31" borderId="38" xfId="1252" applyFont="1" applyFill="1" applyBorder="1"/>
    <xf numFmtId="44" fontId="0" fillId="31" borderId="31" xfId="1252" applyFont="1" applyFill="1" applyBorder="1"/>
    <xf numFmtId="44" fontId="0" fillId="31" borderId="34" xfId="1252" applyFont="1" applyFill="1" applyBorder="1"/>
    <xf numFmtId="44" fontId="0" fillId="31" borderId="36" xfId="1252" applyFont="1" applyFill="1" applyBorder="1"/>
    <xf numFmtId="44" fontId="2" fillId="31" borderId="31" xfId="1252" applyFont="1" applyFill="1" applyBorder="1"/>
    <xf numFmtId="44" fontId="2" fillId="31" borderId="32" xfId="1252" applyFont="1" applyFill="1" applyBorder="1"/>
    <xf numFmtId="44" fontId="2" fillId="31" borderId="34" xfId="1252" applyFont="1" applyFill="1" applyBorder="1"/>
    <xf numFmtId="44" fontId="2" fillId="31" borderId="0" xfId="1252" applyFont="1" applyFill="1" applyBorder="1"/>
    <xf numFmtId="44" fontId="2" fillId="31" borderId="36" xfId="1252" applyFont="1" applyFill="1" applyBorder="1"/>
    <xf numFmtId="44" fontId="2" fillId="31" borderId="37" xfId="1252" applyFont="1" applyFill="1" applyBorder="1"/>
    <xf numFmtId="44" fontId="0" fillId="0" borderId="0" xfId="1252" applyFont="1"/>
    <xf numFmtId="44" fontId="1" fillId="0" borderId="0" xfId="1252" applyFont="1" applyAlignment="1">
      <alignment horizontal="center" wrapText="1"/>
    </xf>
    <xf numFmtId="0" fontId="54" fillId="0" borderId="1" xfId="0" applyNumberFormat="1" applyFont="1" applyFill="1" applyBorder="1" applyAlignment="1">
      <alignment horizontal="center"/>
    </xf>
    <xf numFmtId="189" fontId="58" fillId="0" borderId="29" xfId="0" applyNumberFormat="1" applyFont="1" applyFill="1" applyBorder="1" applyAlignment="1"/>
    <xf numFmtId="189" fontId="58" fillId="0" borderId="25" xfId="0" applyNumberFormat="1" applyFont="1" applyFill="1" applyBorder="1" applyAlignment="1"/>
    <xf numFmtId="189" fontId="58" fillId="0" borderId="27" xfId="0" applyNumberFormat="1" applyFont="1" applyFill="1" applyBorder="1" applyAlignment="1"/>
    <xf numFmtId="10" fontId="58" fillId="0" borderId="29" xfId="0" applyNumberFormat="1" applyFont="1" applyFill="1" applyBorder="1" applyAlignment="1"/>
    <xf numFmtId="10" fontId="58" fillId="0" borderId="25" xfId="0" applyNumberFormat="1" applyFont="1" applyFill="1" applyBorder="1" applyAlignment="1"/>
    <xf numFmtId="10" fontId="58" fillId="0" borderId="27" xfId="0" applyNumberFormat="1" applyFont="1" applyFill="1" applyBorder="1" applyAlignment="1"/>
    <xf numFmtId="10" fontId="0" fillId="0" borderId="0" xfId="0" applyNumberFormat="1" applyFont="1" applyFill="1" applyAlignment="1"/>
    <xf numFmtId="4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89" fontId="0" fillId="0" borderId="0" xfId="0" applyNumberFormat="1" applyFont="1" applyFill="1" applyAlignment="1"/>
    <xf numFmtId="0" fontId="1" fillId="0" borderId="6" xfId="0" applyNumberFormat="1" applyFont="1" applyFill="1" applyBorder="1" applyAlignment="1">
      <alignment horizontal="center" wrapText="1"/>
    </xf>
    <xf numFmtId="189" fontId="61" fillId="0" borderId="25" xfId="0" applyNumberFormat="1" applyFont="1" applyFill="1" applyBorder="1" applyAlignment="1">
      <alignment horizontal="center"/>
    </xf>
    <xf numFmtId="189" fontId="61" fillId="0" borderId="0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54" fillId="0" borderId="0" xfId="0" applyNumberFormat="1" applyFont="1" applyAlignment="1">
      <alignment horizontal="center"/>
    </xf>
    <xf numFmtId="0" fontId="62" fillId="0" borderId="0" xfId="0" applyFont="1" applyAlignment="1">
      <alignment horizontal="left"/>
    </xf>
    <xf numFmtId="0" fontId="57" fillId="0" borderId="0" xfId="0" applyFont="1" applyBorder="1"/>
    <xf numFmtId="0" fontId="4" fillId="31" borderId="0" xfId="1253" applyFont="1" applyFill="1"/>
    <xf numFmtId="0" fontId="3" fillId="31" borderId="0" xfId="1254" applyFill="1"/>
  </cellXfs>
  <cellStyles count="1255">
    <cellStyle name="_x0013_" xfId="10" xr:uid="{00000000-0005-0000-0000-000000000000}"/>
    <cellStyle name=" 1" xfId="11" xr:uid="{00000000-0005-0000-0000-000001000000}"/>
    <cellStyle name="_09GRC Gas Transport For Review" xfId="12" xr:uid="{00000000-0005-0000-0000-000002000000}"/>
    <cellStyle name="_09GRC Gas Transport For Review_Book4" xfId="13" xr:uid="{00000000-0005-0000-0000-000003000000}"/>
    <cellStyle name="_x0013__16.07E Wild Horse Wind Expansionwrkingfile" xfId="14" xr:uid="{00000000-0005-0000-0000-000004000000}"/>
    <cellStyle name="_x0013__16.07E Wild Horse Wind Expansionwrkingfile SF" xfId="15" xr:uid="{00000000-0005-0000-0000-000005000000}"/>
    <cellStyle name="_x0013__16.37E Wild Horse Expansion DeferralRevwrkingfile SF" xfId="16" xr:uid="{00000000-0005-0000-0000-000006000000}"/>
    <cellStyle name="_2008 Strat Plan Power Costs Forecast V2 (2009 Update)" xfId="17" xr:uid="{00000000-0005-0000-0000-000007000000}"/>
    <cellStyle name="_2008 Strat Plan Power Costs Forecast V2 (2009 Update)_NIM Summary" xfId="18" xr:uid="{00000000-0005-0000-0000-000008000000}"/>
    <cellStyle name="_4.06E Pass Throughs" xfId="19" xr:uid="{00000000-0005-0000-0000-000009000000}"/>
    <cellStyle name="_4.06E Pass Throughs_04 07E Wild Horse Wind Expansion (C) (2)" xfId="20" xr:uid="{00000000-0005-0000-0000-00000A000000}"/>
    <cellStyle name="_4.06E Pass Throughs_04 07E Wild Horse Wind Expansion (C) (2)_Adj Bench DR 3 for Initial Briefs (Electric)" xfId="21" xr:uid="{00000000-0005-0000-0000-00000B000000}"/>
    <cellStyle name="_4.06E Pass Throughs_04 07E Wild Horse Wind Expansion (C) (2)_Electric Rev Req Model (2009 GRC) " xfId="22" xr:uid="{00000000-0005-0000-0000-00000C000000}"/>
    <cellStyle name="_4.06E Pass Throughs_04 07E Wild Horse Wind Expansion (C) (2)_Electric Rev Req Model (2009 GRC) Rebuttal REmoval of New  WH Solar AdjustMI" xfId="23" xr:uid="{00000000-0005-0000-0000-00000D000000}"/>
    <cellStyle name="_4.06E Pass Throughs_04 07E Wild Horse Wind Expansion (C) (2)_Electric Rev Req Model (2009 GRC) Revised 01-18-2010" xfId="24" xr:uid="{00000000-0005-0000-0000-00000E000000}"/>
    <cellStyle name="_4.06E Pass Throughs_16.37E Wild Horse Expansion DeferralRevwrkingfile SF" xfId="25" xr:uid="{00000000-0005-0000-0000-00000F000000}"/>
    <cellStyle name="_4.06E Pass Throughs_2009 GRC Compl Filing - Exhibit D" xfId="26" xr:uid="{00000000-0005-0000-0000-000010000000}"/>
    <cellStyle name="_4.06E Pass Throughs_4 31 Regulatory Assets and Liabilities  7 06- Exhibit D" xfId="27" xr:uid="{00000000-0005-0000-0000-000011000000}"/>
    <cellStyle name="_4.06E Pass Throughs_4 31 Regulatory Assets and Liabilities  7 06- Exhibit D_NIM Summary" xfId="28" xr:uid="{00000000-0005-0000-0000-000012000000}"/>
    <cellStyle name="_4.06E Pass Throughs_4 32 Regulatory Assets and Liabilities  7 06- Exhibit D" xfId="29" xr:uid="{00000000-0005-0000-0000-000013000000}"/>
    <cellStyle name="_4.06E Pass Throughs_4 32 Regulatory Assets and Liabilities  7 06- Exhibit D_NIM Summary" xfId="30" xr:uid="{00000000-0005-0000-0000-000014000000}"/>
    <cellStyle name="_4.06E Pass Throughs_Book2" xfId="31" xr:uid="{00000000-0005-0000-0000-000015000000}"/>
    <cellStyle name="_4.06E Pass Throughs_Book2_Adj Bench DR 3 for Initial Briefs (Electric)" xfId="32" xr:uid="{00000000-0005-0000-0000-000016000000}"/>
    <cellStyle name="_4.06E Pass Throughs_Book2_Electric Rev Req Model (2009 GRC) Rebuttal REmoval of New  WH Solar AdjustMI" xfId="33" xr:uid="{00000000-0005-0000-0000-000017000000}"/>
    <cellStyle name="_4.06E Pass Throughs_Book2_Electric Rev Req Model (2009 GRC) Revised 01-18-2010" xfId="34" xr:uid="{00000000-0005-0000-0000-000018000000}"/>
    <cellStyle name="_4.06E Pass Throughs_Book4" xfId="35" xr:uid="{00000000-0005-0000-0000-000019000000}"/>
    <cellStyle name="_4.06E Pass Throughs_Book9" xfId="36" xr:uid="{00000000-0005-0000-0000-00001A000000}"/>
    <cellStyle name="_4.06E Pass Throughs_NIM Summary" xfId="37" xr:uid="{00000000-0005-0000-0000-00001B000000}"/>
    <cellStyle name="_4.06E Pass Throughs_NIM Summary 09GRC" xfId="38" xr:uid="{00000000-0005-0000-0000-00001C000000}"/>
    <cellStyle name="_4.06E Pass Throughs_PCA 9 -  Exhibit D April 2010 (3)" xfId="39" xr:uid="{00000000-0005-0000-0000-00001D000000}"/>
    <cellStyle name="_4.06E Pass Throughs_Power Costs - Comparison bx Rbtl-Staff-Jt-PC" xfId="40" xr:uid="{00000000-0005-0000-0000-00001E000000}"/>
    <cellStyle name="_4.06E Pass Throughs_Power Costs - Comparison bx Rbtl-Staff-Jt-PC_Adj Bench DR 3 for Initial Briefs (Electric)" xfId="41" xr:uid="{00000000-0005-0000-0000-00001F000000}"/>
    <cellStyle name="_4.06E Pass Throughs_Power Costs - Comparison bx Rbtl-Staff-Jt-PC_Electric Rev Req Model (2009 GRC) Rebuttal REmoval of New  WH Solar AdjustMI" xfId="42" xr:uid="{00000000-0005-0000-0000-000020000000}"/>
    <cellStyle name="_4.06E Pass Throughs_Power Costs - Comparison bx Rbtl-Staff-Jt-PC_Electric Rev Req Model (2009 GRC) Revised 01-18-2010" xfId="43" xr:uid="{00000000-0005-0000-0000-000021000000}"/>
    <cellStyle name="_4.06E Pass Throughs_Rebuttal Power Costs" xfId="44" xr:uid="{00000000-0005-0000-0000-000022000000}"/>
    <cellStyle name="_4.06E Pass Throughs_Rebuttal Power Costs_Adj Bench DR 3 for Initial Briefs (Electric)" xfId="45" xr:uid="{00000000-0005-0000-0000-000023000000}"/>
    <cellStyle name="_4.06E Pass Throughs_Rebuttal Power Costs_Electric Rev Req Model (2009 GRC) Rebuttal REmoval of New  WH Solar AdjustMI" xfId="46" xr:uid="{00000000-0005-0000-0000-000024000000}"/>
    <cellStyle name="_4.06E Pass Throughs_Rebuttal Power Costs_Electric Rev Req Model (2009 GRC) Revised 01-18-2010" xfId="47" xr:uid="{00000000-0005-0000-0000-000025000000}"/>
    <cellStyle name="_4.06E Pass Throughs_Wind Integration 10GRC" xfId="48" xr:uid="{00000000-0005-0000-0000-000026000000}"/>
    <cellStyle name="_4.13E Montana Energy Tax" xfId="49" xr:uid="{00000000-0005-0000-0000-000027000000}"/>
    <cellStyle name="_4.13E Montana Energy Tax_04 07E Wild Horse Wind Expansion (C) (2)" xfId="50" xr:uid="{00000000-0005-0000-0000-000028000000}"/>
    <cellStyle name="_4.13E Montana Energy Tax_04 07E Wild Horse Wind Expansion (C) (2)_Adj Bench DR 3 for Initial Briefs (Electric)" xfId="51" xr:uid="{00000000-0005-0000-0000-000029000000}"/>
    <cellStyle name="_4.13E Montana Energy Tax_04 07E Wild Horse Wind Expansion (C) (2)_Electric Rev Req Model (2009 GRC) " xfId="52" xr:uid="{00000000-0005-0000-0000-00002A000000}"/>
    <cellStyle name="_4.13E Montana Energy Tax_04 07E Wild Horse Wind Expansion (C) (2)_Electric Rev Req Model (2009 GRC) Rebuttal REmoval of New  WH Solar AdjustMI" xfId="53" xr:uid="{00000000-0005-0000-0000-00002B000000}"/>
    <cellStyle name="_4.13E Montana Energy Tax_04 07E Wild Horse Wind Expansion (C) (2)_Electric Rev Req Model (2009 GRC) Revised 01-18-2010" xfId="54" xr:uid="{00000000-0005-0000-0000-00002C000000}"/>
    <cellStyle name="_4.13E Montana Energy Tax_16.37E Wild Horse Expansion DeferralRevwrkingfile SF" xfId="55" xr:uid="{00000000-0005-0000-0000-00002D000000}"/>
    <cellStyle name="_4.13E Montana Energy Tax_2009 GRC Compl Filing - Exhibit D" xfId="56" xr:uid="{00000000-0005-0000-0000-00002E000000}"/>
    <cellStyle name="_4.13E Montana Energy Tax_4 31 Regulatory Assets and Liabilities  7 06- Exhibit D" xfId="57" xr:uid="{00000000-0005-0000-0000-00002F000000}"/>
    <cellStyle name="_4.13E Montana Energy Tax_4 31 Regulatory Assets and Liabilities  7 06- Exhibit D_NIM Summary" xfId="58" xr:uid="{00000000-0005-0000-0000-000030000000}"/>
    <cellStyle name="_4.13E Montana Energy Tax_4 32 Regulatory Assets and Liabilities  7 06- Exhibit D" xfId="59" xr:uid="{00000000-0005-0000-0000-000031000000}"/>
    <cellStyle name="_4.13E Montana Energy Tax_4 32 Regulatory Assets and Liabilities  7 06- Exhibit D_NIM Summary" xfId="60" xr:uid="{00000000-0005-0000-0000-000032000000}"/>
    <cellStyle name="_4.13E Montana Energy Tax_Book2" xfId="61" xr:uid="{00000000-0005-0000-0000-000033000000}"/>
    <cellStyle name="_4.13E Montana Energy Tax_Book2_Adj Bench DR 3 for Initial Briefs (Electric)" xfId="62" xr:uid="{00000000-0005-0000-0000-000034000000}"/>
    <cellStyle name="_4.13E Montana Energy Tax_Book2_Electric Rev Req Model (2009 GRC) Rebuttal REmoval of New  WH Solar AdjustMI" xfId="63" xr:uid="{00000000-0005-0000-0000-000035000000}"/>
    <cellStyle name="_4.13E Montana Energy Tax_Book2_Electric Rev Req Model (2009 GRC) Revised 01-18-2010" xfId="64" xr:uid="{00000000-0005-0000-0000-000036000000}"/>
    <cellStyle name="_4.13E Montana Energy Tax_Book4" xfId="65" xr:uid="{00000000-0005-0000-0000-000037000000}"/>
    <cellStyle name="_4.13E Montana Energy Tax_Book9" xfId="66" xr:uid="{00000000-0005-0000-0000-000038000000}"/>
    <cellStyle name="_4.13E Montana Energy Tax_NIM Summary" xfId="67" xr:uid="{00000000-0005-0000-0000-000039000000}"/>
    <cellStyle name="_4.13E Montana Energy Tax_NIM Summary 09GRC" xfId="68" xr:uid="{00000000-0005-0000-0000-00003A000000}"/>
    <cellStyle name="_4.13E Montana Energy Tax_PCA 9 -  Exhibit D April 2010 (3)" xfId="69" xr:uid="{00000000-0005-0000-0000-00003B000000}"/>
    <cellStyle name="_4.13E Montana Energy Tax_Power Costs - Comparison bx Rbtl-Staff-Jt-PC" xfId="70" xr:uid="{00000000-0005-0000-0000-00003C000000}"/>
    <cellStyle name="_4.13E Montana Energy Tax_Power Costs - Comparison bx Rbtl-Staff-Jt-PC_Adj Bench DR 3 for Initial Briefs (Electric)" xfId="71" xr:uid="{00000000-0005-0000-0000-00003D000000}"/>
    <cellStyle name="_4.13E Montana Energy Tax_Power Costs - Comparison bx Rbtl-Staff-Jt-PC_Electric Rev Req Model (2009 GRC) Rebuttal REmoval of New  WH Solar AdjustMI" xfId="72" xr:uid="{00000000-0005-0000-0000-00003E000000}"/>
    <cellStyle name="_4.13E Montana Energy Tax_Power Costs - Comparison bx Rbtl-Staff-Jt-PC_Electric Rev Req Model (2009 GRC) Revised 01-18-2010" xfId="73" xr:uid="{00000000-0005-0000-0000-00003F000000}"/>
    <cellStyle name="_4.13E Montana Energy Tax_Rebuttal Power Costs" xfId="74" xr:uid="{00000000-0005-0000-0000-000040000000}"/>
    <cellStyle name="_4.13E Montana Energy Tax_Rebuttal Power Costs_Adj Bench DR 3 for Initial Briefs (Electric)" xfId="75" xr:uid="{00000000-0005-0000-0000-000041000000}"/>
    <cellStyle name="_4.13E Montana Energy Tax_Rebuttal Power Costs_Electric Rev Req Model (2009 GRC) Rebuttal REmoval of New  WH Solar AdjustMI" xfId="76" xr:uid="{00000000-0005-0000-0000-000042000000}"/>
    <cellStyle name="_4.13E Montana Energy Tax_Rebuttal Power Costs_Electric Rev Req Model (2009 GRC) Revised 01-18-2010" xfId="77" xr:uid="{00000000-0005-0000-0000-000043000000}"/>
    <cellStyle name="_4.13E Montana Energy Tax_Wind Integration 10GRC" xfId="78" xr:uid="{00000000-0005-0000-0000-000044000000}"/>
    <cellStyle name="_x0013__Adj Bench DR 3 for Initial Briefs (Electric)" xfId="79" xr:uid="{00000000-0005-0000-0000-000045000000}"/>
    <cellStyle name="_AURORA WIP" xfId="80" xr:uid="{00000000-0005-0000-0000-000046000000}"/>
    <cellStyle name="_AURORA WIP_DEM-WP(C) Costs Not In AURORA 2010GRC As Filed" xfId="81" xr:uid="{00000000-0005-0000-0000-000047000000}"/>
    <cellStyle name="_AURORA WIP_NIM Summary" xfId="82" xr:uid="{00000000-0005-0000-0000-000048000000}"/>
    <cellStyle name="_AURORA WIP_NIM Summary 09GRC" xfId="83" xr:uid="{00000000-0005-0000-0000-000049000000}"/>
    <cellStyle name="_AURORA WIP_PCA 9 -  Exhibit D April 2010 (3)" xfId="84" xr:uid="{00000000-0005-0000-0000-00004A000000}"/>
    <cellStyle name="_AURORA WIP_Reconciliation" xfId="85" xr:uid="{00000000-0005-0000-0000-00004B000000}"/>
    <cellStyle name="_AURORA WIP_Wind Integration 10GRC" xfId="86" xr:uid="{00000000-0005-0000-0000-00004C000000}"/>
    <cellStyle name="_Book1" xfId="87" xr:uid="{00000000-0005-0000-0000-00004D000000}"/>
    <cellStyle name="_Book1 (2)" xfId="88" xr:uid="{00000000-0005-0000-0000-00004E000000}"/>
    <cellStyle name="_Book1 (2)_04 07E Wild Horse Wind Expansion (C) (2)" xfId="89" xr:uid="{00000000-0005-0000-0000-00004F000000}"/>
    <cellStyle name="_Book1 (2)_04 07E Wild Horse Wind Expansion (C) (2)_Adj Bench DR 3 for Initial Briefs (Electric)" xfId="90" xr:uid="{00000000-0005-0000-0000-000050000000}"/>
    <cellStyle name="_Book1 (2)_04 07E Wild Horse Wind Expansion (C) (2)_Electric Rev Req Model (2009 GRC) " xfId="91" xr:uid="{00000000-0005-0000-0000-000051000000}"/>
    <cellStyle name="_Book1 (2)_04 07E Wild Horse Wind Expansion (C) (2)_Electric Rev Req Model (2009 GRC) Rebuttal REmoval of New  WH Solar AdjustMI" xfId="92" xr:uid="{00000000-0005-0000-0000-000052000000}"/>
    <cellStyle name="_Book1 (2)_04 07E Wild Horse Wind Expansion (C) (2)_Electric Rev Req Model (2009 GRC) Revised 01-18-2010" xfId="93" xr:uid="{00000000-0005-0000-0000-000053000000}"/>
    <cellStyle name="_Book1 (2)_16.37E Wild Horse Expansion DeferralRevwrkingfile SF" xfId="94" xr:uid="{00000000-0005-0000-0000-000054000000}"/>
    <cellStyle name="_Book1 (2)_2009 GRC Compl Filing - Exhibit D" xfId="95" xr:uid="{00000000-0005-0000-0000-000055000000}"/>
    <cellStyle name="_Book1 (2)_4 31 Regulatory Assets and Liabilities  7 06- Exhibit D" xfId="96" xr:uid="{00000000-0005-0000-0000-000056000000}"/>
    <cellStyle name="_Book1 (2)_4 31 Regulatory Assets and Liabilities  7 06- Exhibit D_NIM Summary" xfId="97" xr:uid="{00000000-0005-0000-0000-000057000000}"/>
    <cellStyle name="_Book1 (2)_4 32 Regulatory Assets and Liabilities  7 06- Exhibit D" xfId="98" xr:uid="{00000000-0005-0000-0000-000058000000}"/>
    <cellStyle name="_Book1 (2)_4 32 Regulatory Assets and Liabilities  7 06- Exhibit D_NIM Summary" xfId="99" xr:uid="{00000000-0005-0000-0000-000059000000}"/>
    <cellStyle name="_Book1 (2)_Book2" xfId="100" xr:uid="{00000000-0005-0000-0000-00005A000000}"/>
    <cellStyle name="_Book1 (2)_Book2_Adj Bench DR 3 for Initial Briefs (Electric)" xfId="101" xr:uid="{00000000-0005-0000-0000-00005B000000}"/>
    <cellStyle name="_Book1 (2)_Book2_Electric Rev Req Model (2009 GRC) Rebuttal REmoval of New  WH Solar AdjustMI" xfId="102" xr:uid="{00000000-0005-0000-0000-00005C000000}"/>
    <cellStyle name="_Book1 (2)_Book2_Electric Rev Req Model (2009 GRC) Revised 01-18-2010" xfId="103" xr:uid="{00000000-0005-0000-0000-00005D000000}"/>
    <cellStyle name="_Book1 (2)_Book4" xfId="104" xr:uid="{00000000-0005-0000-0000-00005E000000}"/>
    <cellStyle name="_Book1 (2)_Book9" xfId="105" xr:uid="{00000000-0005-0000-0000-00005F000000}"/>
    <cellStyle name="_Book1 (2)_NIM Summary" xfId="106" xr:uid="{00000000-0005-0000-0000-000060000000}"/>
    <cellStyle name="_Book1 (2)_NIM Summary 09GRC" xfId="107" xr:uid="{00000000-0005-0000-0000-000061000000}"/>
    <cellStyle name="_Book1 (2)_PCA 9 -  Exhibit D April 2010 (3)" xfId="108" xr:uid="{00000000-0005-0000-0000-000062000000}"/>
    <cellStyle name="_Book1 (2)_Power Costs - Comparison bx Rbtl-Staff-Jt-PC" xfId="109" xr:uid="{00000000-0005-0000-0000-000063000000}"/>
    <cellStyle name="_Book1 (2)_Power Costs - Comparison bx Rbtl-Staff-Jt-PC_Adj Bench DR 3 for Initial Briefs (Electric)" xfId="110" xr:uid="{00000000-0005-0000-0000-000064000000}"/>
    <cellStyle name="_Book1 (2)_Power Costs - Comparison bx Rbtl-Staff-Jt-PC_Electric Rev Req Model (2009 GRC) Rebuttal REmoval of New  WH Solar AdjustMI" xfId="111" xr:uid="{00000000-0005-0000-0000-000065000000}"/>
    <cellStyle name="_Book1 (2)_Power Costs - Comparison bx Rbtl-Staff-Jt-PC_Electric Rev Req Model (2009 GRC) Revised 01-18-2010" xfId="112" xr:uid="{00000000-0005-0000-0000-000066000000}"/>
    <cellStyle name="_Book1 (2)_Rebuttal Power Costs" xfId="113" xr:uid="{00000000-0005-0000-0000-000067000000}"/>
    <cellStyle name="_Book1 (2)_Rebuttal Power Costs_Adj Bench DR 3 for Initial Briefs (Electric)" xfId="114" xr:uid="{00000000-0005-0000-0000-000068000000}"/>
    <cellStyle name="_Book1 (2)_Rebuttal Power Costs_Electric Rev Req Model (2009 GRC) Rebuttal REmoval of New  WH Solar AdjustMI" xfId="115" xr:uid="{00000000-0005-0000-0000-000069000000}"/>
    <cellStyle name="_Book1 (2)_Rebuttal Power Costs_Electric Rev Req Model (2009 GRC) Revised 01-18-2010" xfId="116" xr:uid="{00000000-0005-0000-0000-00006A000000}"/>
    <cellStyle name="_Book1 (2)_Wind Integration 10GRC" xfId="117" xr:uid="{00000000-0005-0000-0000-00006B000000}"/>
    <cellStyle name="_Book1_(C) WHE Proforma with ITC cash grant 10 Yr Amort_for deferral_102809" xfId="118" xr:uid="{00000000-0005-0000-0000-00006C000000}"/>
    <cellStyle name="_Book1_(C) WHE Proforma with ITC cash grant 10 Yr Amort_for deferral_102809_16.07E Wild Horse Wind Expansionwrkingfile" xfId="119" xr:uid="{00000000-0005-0000-0000-00006D000000}"/>
    <cellStyle name="_Book1_(C) WHE Proforma with ITC cash grant 10 Yr Amort_for deferral_102809_16.07E Wild Horse Wind Expansionwrkingfile SF" xfId="120" xr:uid="{00000000-0005-0000-0000-00006E000000}"/>
    <cellStyle name="_Book1_(C) WHE Proforma with ITC cash grant 10 Yr Amort_for deferral_102809_16.37E Wild Horse Expansion DeferralRevwrkingfile SF" xfId="121" xr:uid="{00000000-0005-0000-0000-00006F000000}"/>
    <cellStyle name="_Book1_(C) WHE Proforma with ITC cash grant 10 Yr Amort_for rebuttal_120709" xfId="122" xr:uid="{00000000-0005-0000-0000-000070000000}"/>
    <cellStyle name="_Book1_04.07E Wild Horse Wind Expansion" xfId="123" xr:uid="{00000000-0005-0000-0000-000071000000}"/>
    <cellStyle name="_Book1_04.07E Wild Horse Wind Expansion_16.07E Wild Horse Wind Expansionwrkingfile" xfId="124" xr:uid="{00000000-0005-0000-0000-000072000000}"/>
    <cellStyle name="_Book1_04.07E Wild Horse Wind Expansion_16.07E Wild Horse Wind Expansionwrkingfile SF" xfId="125" xr:uid="{00000000-0005-0000-0000-000073000000}"/>
    <cellStyle name="_Book1_04.07E Wild Horse Wind Expansion_16.37E Wild Horse Expansion DeferralRevwrkingfile SF" xfId="126" xr:uid="{00000000-0005-0000-0000-000074000000}"/>
    <cellStyle name="_Book1_16.07E Wild Horse Wind Expansionwrkingfile" xfId="127" xr:uid="{00000000-0005-0000-0000-000075000000}"/>
    <cellStyle name="_Book1_16.07E Wild Horse Wind Expansionwrkingfile SF" xfId="128" xr:uid="{00000000-0005-0000-0000-000076000000}"/>
    <cellStyle name="_Book1_16.37E Wild Horse Expansion DeferralRevwrkingfile SF" xfId="129" xr:uid="{00000000-0005-0000-0000-000077000000}"/>
    <cellStyle name="_Book1_2009 GRC Compl Filing - Exhibit D" xfId="130" xr:uid="{00000000-0005-0000-0000-000078000000}"/>
    <cellStyle name="_Book1_4 31 Regulatory Assets and Liabilities  7 06- Exhibit D" xfId="131" xr:uid="{00000000-0005-0000-0000-000079000000}"/>
    <cellStyle name="_Book1_4 31 Regulatory Assets and Liabilities  7 06- Exhibit D_NIM Summary" xfId="132" xr:uid="{00000000-0005-0000-0000-00007A000000}"/>
    <cellStyle name="_Book1_4 32 Regulatory Assets and Liabilities  7 06- Exhibit D" xfId="133" xr:uid="{00000000-0005-0000-0000-00007B000000}"/>
    <cellStyle name="_Book1_4 32 Regulatory Assets and Liabilities  7 06- Exhibit D_NIM Summary" xfId="134" xr:uid="{00000000-0005-0000-0000-00007C000000}"/>
    <cellStyle name="_Book1_Book2" xfId="135" xr:uid="{00000000-0005-0000-0000-00007D000000}"/>
    <cellStyle name="_Book1_Book2_Adj Bench DR 3 for Initial Briefs (Electric)" xfId="136" xr:uid="{00000000-0005-0000-0000-00007E000000}"/>
    <cellStyle name="_Book1_Book2_Electric Rev Req Model (2009 GRC) Rebuttal REmoval of New  WH Solar AdjustMI" xfId="137" xr:uid="{00000000-0005-0000-0000-00007F000000}"/>
    <cellStyle name="_Book1_Book2_Electric Rev Req Model (2009 GRC) Revised 01-18-2010" xfId="138" xr:uid="{00000000-0005-0000-0000-000080000000}"/>
    <cellStyle name="_Book1_Book4" xfId="139" xr:uid="{00000000-0005-0000-0000-000081000000}"/>
    <cellStyle name="_Book1_Book9" xfId="140" xr:uid="{00000000-0005-0000-0000-000082000000}"/>
    <cellStyle name="_Book1_NIM Summary" xfId="141" xr:uid="{00000000-0005-0000-0000-000083000000}"/>
    <cellStyle name="_Book1_NIM Summary 09GRC" xfId="142" xr:uid="{00000000-0005-0000-0000-000084000000}"/>
    <cellStyle name="_Book1_PCA 9 -  Exhibit D April 2010 (3)" xfId="143" xr:uid="{00000000-0005-0000-0000-000085000000}"/>
    <cellStyle name="_Book1_Power Costs - Comparison bx Rbtl-Staff-Jt-PC" xfId="144" xr:uid="{00000000-0005-0000-0000-000086000000}"/>
    <cellStyle name="_Book1_Power Costs - Comparison bx Rbtl-Staff-Jt-PC_Adj Bench DR 3 for Initial Briefs (Electric)" xfId="145" xr:uid="{00000000-0005-0000-0000-000087000000}"/>
    <cellStyle name="_Book1_Power Costs - Comparison bx Rbtl-Staff-Jt-PC_Electric Rev Req Model (2009 GRC) Rebuttal REmoval of New  WH Solar AdjustMI" xfId="146" xr:uid="{00000000-0005-0000-0000-000088000000}"/>
    <cellStyle name="_Book1_Power Costs - Comparison bx Rbtl-Staff-Jt-PC_Electric Rev Req Model (2009 GRC) Revised 01-18-2010" xfId="147" xr:uid="{00000000-0005-0000-0000-000089000000}"/>
    <cellStyle name="_Book1_Rebuttal Power Costs" xfId="148" xr:uid="{00000000-0005-0000-0000-00008A000000}"/>
    <cellStyle name="_Book1_Rebuttal Power Costs_Adj Bench DR 3 for Initial Briefs (Electric)" xfId="149" xr:uid="{00000000-0005-0000-0000-00008B000000}"/>
    <cellStyle name="_Book1_Rebuttal Power Costs_Electric Rev Req Model (2009 GRC) Rebuttal REmoval of New  WH Solar AdjustMI" xfId="150" xr:uid="{00000000-0005-0000-0000-00008C000000}"/>
    <cellStyle name="_Book1_Rebuttal Power Costs_Electric Rev Req Model (2009 GRC) Revised 01-18-2010" xfId="151" xr:uid="{00000000-0005-0000-0000-00008D000000}"/>
    <cellStyle name="_Book1_Transmission Workbook for May BOD" xfId="152" xr:uid="{00000000-0005-0000-0000-00008E000000}"/>
    <cellStyle name="_Book1_Wind Integration 10GRC" xfId="153" xr:uid="{00000000-0005-0000-0000-00008F000000}"/>
    <cellStyle name="_Book2" xfId="154" xr:uid="{00000000-0005-0000-0000-000090000000}"/>
    <cellStyle name="_x0013__Book2" xfId="155" xr:uid="{00000000-0005-0000-0000-000091000000}"/>
    <cellStyle name="_Book2_04 07E Wild Horse Wind Expansion (C) (2)" xfId="156" xr:uid="{00000000-0005-0000-0000-000092000000}"/>
    <cellStyle name="_Book2_04 07E Wild Horse Wind Expansion (C) (2)_Adj Bench DR 3 for Initial Briefs (Electric)" xfId="157" xr:uid="{00000000-0005-0000-0000-000093000000}"/>
    <cellStyle name="_Book2_04 07E Wild Horse Wind Expansion (C) (2)_Electric Rev Req Model (2009 GRC) " xfId="158" xr:uid="{00000000-0005-0000-0000-000094000000}"/>
    <cellStyle name="_Book2_04 07E Wild Horse Wind Expansion (C) (2)_Electric Rev Req Model (2009 GRC) Rebuttal REmoval of New  WH Solar AdjustMI" xfId="159" xr:uid="{00000000-0005-0000-0000-000095000000}"/>
    <cellStyle name="_Book2_04 07E Wild Horse Wind Expansion (C) (2)_Electric Rev Req Model (2009 GRC) Revised 01-18-2010" xfId="160" xr:uid="{00000000-0005-0000-0000-000096000000}"/>
    <cellStyle name="_Book2_16.37E Wild Horse Expansion DeferralRevwrkingfile SF" xfId="161" xr:uid="{00000000-0005-0000-0000-000097000000}"/>
    <cellStyle name="_Book2_2009 GRC Compl Filing - Exhibit D" xfId="162" xr:uid="{00000000-0005-0000-0000-000098000000}"/>
    <cellStyle name="_Book2_4 31 Regulatory Assets and Liabilities  7 06- Exhibit D" xfId="163" xr:uid="{00000000-0005-0000-0000-000099000000}"/>
    <cellStyle name="_Book2_4 31 Regulatory Assets and Liabilities  7 06- Exhibit D_NIM Summary" xfId="164" xr:uid="{00000000-0005-0000-0000-00009A000000}"/>
    <cellStyle name="_Book2_4 32 Regulatory Assets and Liabilities  7 06- Exhibit D" xfId="165" xr:uid="{00000000-0005-0000-0000-00009B000000}"/>
    <cellStyle name="_Book2_4 32 Regulatory Assets and Liabilities  7 06- Exhibit D_NIM Summary" xfId="166" xr:uid="{00000000-0005-0000-0000-00009C000000}"/>
    <cellStyle name="_x0013__Book2_Adj Bench DR 3 for Initial Briefs (Electric)" xfId="167" xr:uid="{00000000-0005-0000-0000-00009D000000}"/>
    <cellStyle name="_Book2_Book2" xfId="168" xr:uid="{00000000-0005-0000-0000-00009E000000}"/>
    <cellStyle name="_Book2_Book2_Adj Bench DR 3 for Initial Briefs (Electric)" xfId="169" xr:uid="{00000000-0005-0000-0000-00009F000000}"/>
    <cellStyle name="_Book2_Book2_Electric Rev Req Model (2009 GRC) Rebuttal REmoval of New  WH Solar AdjustMI" xfId="170" xr:uid="{00000000-0005-0000-0000-0000A0000000}"/>
    <cellStyle name="_Book2_Book2_Electric Rev Req Model (2009 GRC) Revised 01-18-2010" xfId="171" xr:uid="{00000000-0005-0000-0000-0000A1000000}"/>
    <cellStyle name="_Book2_Book4" xfId="172" xr:uid="{00000000-0005-0000-0000-0000A2000000}"/>
    <cellStyle name="_Book2_Book9" xfId="173" xr:uid="{00000000-0005-0000-0000-0000A3000000}"/>
    <cellStyle name="_x0013__Book2_Electric Rev Req Model (2009 GRC) Rebuttal REmoval of New  WH Solar AdjustMI" xfId="174" xr:uid="{00000000-0005-0000-0000-0000A4000000}"/>
    <cellStyle name="_x0013__Book2_Electric Rev Req Model (2009 GRC) Revised 01-18-2010" xfId="175" xr:uid="{00000000-0005-0000-0000-0000A5000000}"/>
    <cellStyle name="_Book2_NIM Summary" xfId="176" xr:uid="{00000000-0005-0000-0000-0000A6000000}"/>
    <cellStyle name="_Book2_NIM Summary 09GRC" xfId="177" xr:uid="{00000000-0005-0000-0000-0000A7000000}"/>
    <cellStyle name="_Book2_PCA 9 -  Exhibit D April 2010 (3)" xfId="178" xr:uid="{00000000-0005-0000-0000-0000A8000000}"/>
    <cellStyle name="_Book2_Power Costs - Comparison bx Rbtl-Staff-Jt-PC" xfId="179" xr:uid="{00000000-0005-0000-0000-0000A9000000}"/>
    <cellStyle name="_Book2_Power Costs - Comparison bx Rbtl-Staff-Jt-PC_Adj Bench DR 3 for Initial Briefs (Electric)" xfId="180" xr:uid="{00000000-0005-0000-0000-0000AA000000}"/>
    <cellStyle name="_Book2_Power Costs - Comparison bx Rbtl-Staff-Jt-PC_Electric Rev Req Model (2009 GRC) Rebuttal REmoval of New  WH Solar AdjustMI" xfId="181" xr:uid="{00000000-0005-0000-0000-0000AB000000}"/>
    <cellStyle name="_Book2_Power Costs - Comparison bx Rbtl-Staff-Jt-PC_Electric Rev Req Model (2009 GRC) Revised 01-18-2010" xfId="182" xr:uid="{00000000-0005-0000-0000-0000AC000000}"/>
    <cellStyle name="_Book2_Rebuttal Power Costs" xfId="183" xr:uid="{00000000-0005-0000-0000-0000AD000000}"/>
    <cellStyle name="_Book2_Rebuttal Power Costs_Adj Bench DR 3 for Initial Briefs (Electric)" xfId="184" xr:uid="{00000000-0005-0000-0000-0000AE000000}"/>
    <cellStyle name="_Book2_Rebuttal Power Costs_Electric Rev Req Model (2009 GRC) Rebuttal REmoval of New  WH Solar AdjustMI" xfId="185" xr:uid="{00000000-0005-0000-0000-0000AF000000}"/>
    <cellStyle name="_Book2_Rebuttal Power Costs_Electric Rev Req Model (2009 GRC) Revised 01-18-2010" xfId="186" xr:uid="{00000000-0005-0000-0000-0000B0000000}"/>
    <cellStyle name="_Book2_Wind Integration 10GRC" xfId="187" xr:uid="{00000000-0005-0000-0000-0000B1000000}"/>
    <cellStyle name="_Book3" xfId="188" xr:uid="{00000000-0005-0000-0000-0000B2000000}"/>
    <cellStyle name="_Book5" xfId="189" xr:uid="{00000000-0005-0000-0000-0000B3000000}"/>
    <cellStyle name="_Book5_DEM-WP(C) Costs Not In AURORA 2010GRC As Filed" xfId="190" xr:uid="{00000000-0005-0000-0000-0000B4000000}"/>
    <cellStyle name="_Book5_NIM Summary" xfId="191" xr:uid="{00000000-0005-0000-0000-0000B5000000}"/>
    <cellStyle name="_Book5_NIM Summary 09GRC" xfId="192" xr:uid="{00000000-0005-0000-0000-0000B6000000}"/>
    <cellStyle name="_Book5_PCA 9 -  Exhibit D April 2010 (3)" xfId="193" xr:uid="{00000000-0005-0000-0000-0000B7000000}"/>
    <cellStyle name="_Book5_Reconciliation" xfId="194" xr:uid="{00000000-0005-0000-0000-0000B8000000}"/>
    <cellStyle name="_Book5_Wind Integration 10GRC" xfId="195" xr:uid="{00000000-0005-0000-0000-0000B9000000}"/>
    <cellStyle name="_BPA NOS" xfId="196" xr:uid="{00000000-0005-0000-0000-0000BA000000}"/>
    <cellStyle name="_BPA NOS_DEM-WP(C) Wind Integration Summary 2010GRC" xfId="197" xr:uid="{00000000-0005-0000-0000-0000BB000000}"/>
    <cellStyle name="_BPA NOS_NIM Summary" xfId="198" xr:uid="{00000000-0005-0000-0000-0000BC000000}"/>
    <cellStyle name="_Chelan Debt Forecast 12.19.05" xfId="199" xr:uid="{00000000-0005-0000-0000-0000BD000000}"/>
    <cellStyle name="_Chelan Debt Forecast 12.19.05_(C) WHE Proforma with ITC cash grant 10 Yr Amort_for deferral_102809" xfId="200" xr:uid="{00000000-0005-0000-0000-0000BE000000}"/>
    <cellStyle name="_Chelan Debt Forecast 12.19.05_(C) WHE Proforma with ITC cash grant 10 Yr Amort_for deferral_102809_16.07E Wild Horse Wind Expansionwrkingfile" xfId="201" xr:uid="{00000000-0005-0000-0000-0000BF000000}"/>
    <cellStyle name="_Chelan Debt Forecast 12.19.05_(C) WHE Proforma with ITC cash grant 10 Yr Amort_for deferral_102809_16.07E Wild Horse Wind Expansionwrkingfile SF" xfId="202" xr:uid="{00000000-0005-0000-0000-0000C0000000}"/>
    <cellStyle name="_Chelan Debt Forecast 12.19.05_(C) WHE Proforma with ITC cash grant 10 Yr Amort_for deferral_102809_16.37E Wild Horse Expansion DeferralRevwrkingfile SF" xfId="203" xr:uid="{00000000-0005-0000-0000-0000C1000000}"/>
    <cellStyle name="_Chelan Debt Forecast 12.19.05_(C) WHE Proforma with ITC cash grant 10 Yr Amort_for rebuttal_120709" xfId="204" xr:uid="{00000000-0005-0000-0000-0000C2000000}"/>
    <cellStyle name="_Chelan Debt Forecast 12.19.05_04.07E Wild Horse Wind Expansion" xfId="205" xr:uid="{00000000-0005-0000-0000-0000C3000000}"/>
    <cellStyle name="_Chelan Debt Forecast 12.19.05_04.07E Wild Horse Wind Expansion_16.07E Wild Horse Wind Expansionwrkingfile" xfId="206" xr:uid="{00000000-0005-0000-0000-0000C4000000}"/>
    <cellStyle name="_Chelan Debt Forecast 12.19.05_04.07E Wild Horse Wind Expansion_16.07E Wild Horse Wind Expansionwrkingfile SF" xfId="207" xr:uid="{00000000-0005-0000-0000-0000C5000000}"/>
    <cellStyle name="_Chelan Debt Forecast 12.19.05_04.07E Wild Horse Wind Expansion_16.37E Wild Horse Expansion DeferralRevwrkingfile SF" xfId="208" xr:uid="{00000000-0005-0000-0000-0000C6000000}"/>
    <cellStyle name="_Chelan Debt Forecast 12.19.05_16.07E Wild Horse Wind Expansionwrkingfile" xfId="209" xr:uid="{00000000-0005-0000-0000-0000C7000000}"/>
    <cellStyle name="_Chelan Debt Forecast 12.19.05_16.07E Wild Horse Wind Expansionwrkingfile SF" xfId="210" xr:uid="{00000000-0005-0000-0000-0000C8000000}"/>
    <cellStyle name="_Chelan Debt Forecast 12.19.05_16.37E Wild Horse Expansion DeferralRevwrkingfile SF" xfId="211" xr:uid="{00000000-0005-0000-0000-0000C9000000}"/>
    <cellStyle name="_Chelan Debt Forecast 12.19.05_2009 GRC Compl Filing - Exhibit D" xfId="212" xr:uid="{00000000-0005-0000-0000-0000CA000000}"/>
    <cellStyle name="_Chelan Debt Forecast 12.19.05_4 31 Regulatory Assets and Liabilities  7 06- Exhibit D" xfId="213" xr:uid="{00000000-0005-0000-0000-0000CB000000}"/>
    <cellStyle name="_Chelan Debt Forecast 12.19.05_4 31 Regulatory Assets and Liabilities  7 06- Exhibit D_NIM Summary" xfId="214" xr:uid="{00000000-0005-0000-0000-0000CC000000}"/>
    <cellStyle name="_Chelan Debt Forecast 12.19.05_4 32 Regulatory Assets and Liabilities  7 06- Exhibit D" xfId="215" xr:uid="{00000000-0005-0000-0000-0000CD000000}"/>
    <cellStyle name="_Chelan Debt Forecast 12.19.05_4 32 Regulatory Assets and Liabilities  7 06- Exhibit D_NIM Summary" xfId="216" xr:uid="{00000000-0005-0000-0000-0000CE000000}"/>
    <cellStyle name="_Chelan Debt Forecast 12.19.05_Book2" xfId="217" xr:uid="{00000000-0005-0000-0000-0000CF000000}"/>
    <cellStyle name="_Chelan Debt Forecast 12.19.05_Book2_Adj Bench DR 3 for Initial Briefs (Electric)" xfId="218" xr:uid="{00000000-0005-0000-0000-0000D0000000}"/>
    <cellStyle name="_Chelan Debt Forecast 12.19.05_Book2_Electric Rev Req Model (2009 GRC) Rebuttal REmoval of New  WH Solar AdjustMI" xfId="219" xr:uid="{00000000-0005-0000-0000-0000D1000000}"/>
    <cellStyle name="_Chelan Debt Forecast 12.19.05_Book2_Electric Rev Req Model (2009 GRC) Revised 01-18-2010" xfId="220" xr:uid="{00000000-0005-0000-0000-0000D2000000}"/>
    <cellStyle name="_Chelan Debt Forecast 12.19.05_Book4" xfId="221" xr:uid="{00000000-0005-0000-0000-0000D3000000}"/>
    <cellStyle name="_Chelan Debt Forecast 12.19.05_Book9" xfId="222" xr:uid="{00000000-0005-0000-0000-0000D4000000}"/>
    <cellStyle name="_Chelan Debt Forecast 12.19.05_Exhibit D fr R Gho 12-31-08" xfId="223" xr:uid="{00000000-0005-0000-0000-0000D5000000}"/>
    <cellStyle name="_Chelan Debt Forecast 12.19.05_Exhibit D fr R Gho 12-31-08 v2" xfId="224" xr:uid="{00000000-0005-0000-0000-0000D6000000}"/>
    <cellStyle name="_Chelan Debt Forecast 12.19.05_Exhibit D fr R Gho 12-31-08 v2_NIM Summary" xfId="225" xr:uid="{00000000-0005-0000-0000-0000D7000000}"/>
    <cellStyle name="_Chelan Debt Forecast 12.19.05_Exhibit D fr R Gho 12-31-08_NIM Summary" xfId="226" xr:uid="{00000000-0005-0000-0000-0000D8000000}"/>
    <cellStyle name="_Chelan Debt Forecast 12.19.05_Hopkins Ridge Prepaid Tran - Interest Earned RY 12ME Feb  '11" xfId="227" xr:uid="{00000000-0005-0000-0000-0000D9000000}"/>
    <cellStyle name="_Chelan Debt Forecast 12.19.05_Hopkins Ridge Prepaid Tran - Interest Earned RY 12ME Feb  '11_NIM Summary" xfId="228" xr:uid="{00000000-0005-0000-0000-0000DA000000}"/>
    <cellStyle name="_Chelan Debt Forecast 12.19.05_Hopkins Ridge Prepaid Tran - Interest Earned RY 12ME Feb  '11_Transmission Workbook for May BOD" xfId="229" xr:uid="{00000000-0005-0000-0000-0000DB000000}"/>
    <cellStyle name="_Chelan Debt Forecast 12.19.05_NIM Summary" xfId="230" xr:uid="{00000000-0005-0000-0000-0000DC000000}"/>
    <cellStyle name="_Chelan Debt Forecast 12.19.05_NIM Summary 09GRC" xfId="231" xr:uid="{00000000-0005-0000-0000-0000DD000000}"/>
    <cellStyle name="_Chelan Debt Forecast 12.19.05_PCA 7 - Exhibit D update 11_30_08 (2)" xfId="232" xr:uid="{00000000-0005-0000-0000-0000DE000000}"/>
    <cellStyle name="_Chelan Debt Forecast 12.19.05_PCA 7 - Exhibit D update 11_30_08 (2)_NIM Summary" xfId="233" xr:uid="{00000000-0005-0000-0000-0000DF000000}"/>
    <cellStyle name="_Chelan Debt Forecast 12.19.05_PCA 9 -  Exhibit D April 2010 (3)" xfId="234" xr:uid="{00000000-0005-0000-0000-0000E0000000}"/>
    <cellStyle name="_Chelan Debt Forecast 12.19.05_Power Costs - Comparison bx Rbtl-Staff-Jt-PC" xfId="235" xr:uid="{00000000-0005-0000-0000-0000E1000000}"/>
    <cellStyle name="_Chelan Debt Forecast 12.19.05_Power Costs - Comparison bx Rbtl-Staff-Jt-PC_Adj Bench DR 3 for Initial Briefs (Electric)" xfId="236" xr:uid="{00000000-0005-0000-0000-0000E2000000}"/>
    <cellStyle name="_Chelan Debt Forecast 12.19.05_Power Costs - Comparison bx Rbtl-Staff-Jt-PC_Electric Rev Req Model (2009 GRC) Rebuttal REmoval of New  WH Solar AdjustMI" xfId="237" xr:uid="{00000000-0005-0000-0000-0000E3000000}"/>
    <cellStyle name="_Chelan Debt Forecast 12.19.05_Power Costs - Comparison bx Rbtl-Staff-Jt-PC_Electric Rev Req Model (2009 GRC) Revised 01-18-2010" xfId="238" xr:uid="{00000000-0005-0000-0000-0000E4000000}"/>
    <cellStyle name="_Chelan Debt Forecast 12.19.05_Rebuttal Power Costs" xfId="239" xr:uid="{00000000-0005-0000-0000-0000E5000000}"/>
    <cellStyle name="_Chelan Debt Forecast 12.19.05_Rebuttal Power Costs_Adj Bench DR 3 for Initial Briefs (Electric)" xfId="240" xr:uid="{00000000-0005-0000-0000-0000E6000000}"/>
    <cellStyle name="_Chelan Debt Forecast 12.19.05_Rebuttal Power Costs_Electric Rev Req Model (2009 GRC) Rebuttal REmoval of New  WH Solar AdjustMI" xfId="241" xr:uid="{00000000-0005-0000-0000-0000E7000000}"/>
    <cellStyle name="_Chelan Debt Forecast 12.19.05_Rebuttal Power Costs_Electric Rev Req Model (2009 GRC) Revised 01-18-2010" xfId="242" xr:uid="{00000000-0005-0000-0000-0000E8000000}"/>
    <cellStyle name="_Chelan Debt Forecast 12.19.05_Transmission Workbook for May BOD" xfId="243" xr:uid="{00000000-0005-0000-0000-0000E9000000}"/>
    <cellStyle name="_Chelan Debt Forecast 12.19.05_Wind Integration 10GRC" xfId="244" xr:uid="{00000000-0005-0000-0000-0000EA000000}"/>
    <cellStyle name="_Copy 11-9 Sumas Proforma - Current" xfId="245" xr:uid="{00000000-0005-0000-0000-0000EB000000}"/>
    <cellStyle name="_Costs not in AURORA 06GRC" xfId="246" xr:uid="{00000000-0005-0000-0000-0000EC000000}"/>
    <cellStyle name="_Costs not in AURORA 06GRC_04 07E Wild Horse Wind Expansion (C) (2)" xfId="247" xr:uid="{00000000-0005-0000-0000-0000ED000000}"/>
    <cellStyle name="_Costs not in AURORA 06GRC_04 07E Wild Horse Wind Expansion (C) (2)_Adj Bench DR 3 for Initial Briefs (Electric)" xfId="248" xr:uid="{00000000-0005-0000-0000-0000EE000000}"/>
    <cellStyle name="_Costs not in AURORA 06GRC_04 07E Wild Horse Wind Expansion (C) (2)_Electric Rev Req Model (2009 GRC) " xfId="249" xr:uid="{00000000-0005-0000-0000-0000EF000000}"/>
    <cellStyle name="_Costs not in AURORA 06GRC_04 07E Wild Horse Wind Expansion (C) (2)_Electric Rev Req Model (2009 GRC) Rebuttal REmoval of New  WH Solar AdjustMI" xfId="250" xr:uid="{00000000-0005-0000-0000-0000F0000000}"/>
    <cellStyle name="_Costs not in AURORA 06GRC_04 07E Wild Horse Wind Expansion (C) (2)_Electric Rev Req Model (2009 GRC) Revised 01-18-2010" xfId="251" xr:uid="{00000000-0005-0000-0000-0000F1000000}"/>
    <cellStyle name="_Costs not in AURORA 06GRC_16.37E Wild Horse Expansion DeferralRevwrkingfile SF" xfId="252" xr:uid="{00000000-0005-0000-0000-0000F2000000}"/>
    <cellStyle name="_Costs not in AURORA 06GRC_2009 GRC Compl Filing - Exhibit D" xfId="253" xr:uid="{00000000-0005-0000-0000-0000F3000000}"/>
    <cellStyle name="_Costs not in AURORA 06GRC_4 31 Regulatory Assets and Liabilities  7 06- Exhibit D" xfId="254" xr:uid="{00000000-0005-0000-0000-0000F4000000}"/>
    <cellStyle name="_Costs not in AURORA 06GRC_4 31 Regulatory Assets and Liabilities  7 06- Exhibit D_NIM Summary" xfId="255" xr:uid="{00000000-0005-0000-0000-0000F5000000}"/>
    <cellStyle name="_Costs not in AURORA 06GRC_4 32 Regulatory Assets and Liabilities  7 06- Exhibit D" xfId="256" xr:uid="{00000000-0005-0000-0000-0000F6000000}"/>
    <cellStyle name="_Costs not in AURORA 06GRC_4 32 Regulatory Assets and Liabilities  7 06- Exhibit D_NIM Summary" xfId="257" xr:uid="{00000000-0005-0000-0000-0000F7000000}"/>
    <cellStyle name="_Costs not in AURORA 06GRC_Book2" xfId="258" xr:uid="{00000000-0005-0000-0000-0000F8000000}"/>
    <cellStyle name="_Costs not in AURORA 06GRC_Book2_Adj Bench DR 3 for Initial Briefs (Electric)" xfId="259" xr:uid="{00000000-0005-0000-0000-0000F9000000}"/>
    <cellStyle name="_Costs not in AURORA 06GRC_Book2_Electric Rev Req Model (2009 GRC) Rebuttal REmoval of New  WH Solar AdjustMI" xfId="260" xr:uid="{00000000-0005-0000-0000-0000FA000000}"/>
    <cellStyle name="_Costs not in AURORA 06GRC_Book2_Electric Rev Req Model (2009 GRC) Revised 01-18-2010" xfId="261" xr:uid="{00000000-0005-0000-0000-0000FB000000}"/>
    <cellStyle name="_Costs not in AURORA 06GRC_Book4" xfId="262" xr:uid="{00000000-0005-0000-0000-0000FC000000}"/>
    <cellStyle name="_Costs not in AURORA 06GRC_Book9" xfId="263" xr:uid="{00000000-0005-0000-0000-0000FD000000}"/>
    <cellStyle name="_Costs not in AURORA 06GRC_Exhibit D fr R Gho 12-31-08" xfId="264" xr:uid="{00000000-0005-0000-0000-0000FE000000}"/>
    <cellStyle name="_Costs not in AURORA 06GRC_Exhibit D fr R Gho 12-31-08 v2" xfId="265" xr:uid="{00000000-0005-0000-0000-0000FF000000}"/>
    <cellStyle name="_Costs not in AURORA 06GRC_Exhibit D fr R Gho 12-31-08 v2_NIM Summary" xfId="266" xr:uid="{00000000-0005-0000-0000-000000010000}"/>
    <cellStyle name="_Costs not in AURORA 06GRC_Exhibit D fr R Gho 12-31-08_NIM Summary" xfId="267" xr:uid="{00000000-0005-0000-0000-000001010000}"/>
    <cellStyle name="_Costs not in AURORA 06GRC_Hopkins Ridge Prepaid Tran - Interest Earned RY 12ME Feb  '11" xfId="268" xr:uid="{00000000-0005-0000-0000-000002010000}"/>
    <cellStyle name="_Costs not in AURORA 06GRC_Hopkins Ridge Prepaid Tran - Interest Earned RY 12ME Feb  '11_NIM Summary" xfId="269" xr:uid="{00000000-0005-0000-0000-000003010000}"/>
    <cellStyle name="_Costs not in AURORA 06GRC_Hopkins Ridge Prepaid Tran - Interest Earned RY 12ME Feb  '11_Transmission Workbook for May BOD" xfId="270" xr:uid="{00000000-0005-0000-0000-000004010000}"/>
    <cellStyle name="_Costs not in AURORA 06GRC_NIM Summary" xfId="271" xr:uid="{00000000-0005-0000-0000-000005010000}"/>
    <cellStyle name="_Costs not in AURORA 06GRC_NIM Summary 09GRC" xfId="272" xr:uid="{00000000-0005-0000-0000-000006010000}"/>
    <cellStyle name="_Costs not in AURORA 06GRC_PCA 7 - Exhibit D update 11_30_08 (2)" xfId="273" xr:uid="{00000000-0005-0000-0000-000007010000}"/>
    <cellStyle name="_Costs not in AURORA 06GRC_PCA 7 - Exhibit D update 11_30_08 (2)_NIM Summary" xfId="274" xr:uid="{00000000-0005-0000-0000-000008010000}"/>
    <cellStyle name="_Costs not in AURORA 06GRC_PCA 9 -  Exhibit D April 2010 (3)" xfId="275" xr:uid="{00000000-0005-0000-0000-000009010000}"/>
    <cellStyle name="_Costs not in AURORA 06GRC_Power Costs - Comparison bx Rbtl-Staff-Jt-PC" xfId="276" xr:uid="{00000000-0005-0000-0000-00000A010000}"/>
    <cellStyle name="_Costs not in AURORA 06GRC_Power Costs - Comparison bx Rbtl-Staff-Jt-PC_Adj Bench DR 3 for Initial Briefs (Electric)" xfId="277" xr:uid="{00000000-0005-0000-0000-00000B010000}"/>
    <cellStyle name="_Costs not in AURORA 06GRC_Power Costs - Comparison bx Rbtl-Staff-Jt-PC_Electric Rev Req Model (2009 GRC) Rebuttal REmoval of New  WH Solar AdjustMI" xfId="278" xr:uid="{00000000-0005-0000-0000-00000C010000}"/>
    <cellStyle name="_Costs not in AURORA 06GRC_Power Costs - Comparison bx Rbtl-Staff-Jt-PC_Electric Rev Req Model (2009 GRC) Revised 01-18-2010" xfId="279" xr:uid="{00000000-0005-0000-0000-00000D010000}"/>
    <cellStyle name="_Costs not in AURORA 06GRC_Rebuttal Power Costs" xfId="280" xr:uid="{00000000-0005-0000-0000-00000E010000}"/>
    <cellStyle name="_Costs not in AURORA 06GRC_Rebuttal Power Costs_Adj Bench DR 3 for Initial Briefs (Electric)" xfId="281" xr:uid="{00000000-0005-0000-0000-00000F010000}"/>
    <cellStyle name="_Costs not in AURORA 06GRC_Rebuttal Power Costs_Electric Rev Req Model (2009 GRC) Rebuttal REmoval of New  WH Solar AdjustMI" xfId="282" xr:uid="{00000000-0005-0000-0000-000010010000}"/>
    <cellStyle name="_Costs not in AURORA 06GRC_Rebuttal Power Costs_Electric Rev Req Model (2009 GRC) Revised 01-18-2010" xfId="283" xr:uid="{00000000-0005-0000-0000-000011010000}"/>
    <cellStyle name="_Costs not in AURORA 06GRC_Transmission Workbook for May BOD" xfId="284" xr:uid="{00000000-0005-0000-0000-000012010000}"/>
    <cellStyle name="_Costs not in AURORA 06GRC_Wind Integration 10GRC" xfId="285" xr:uid="{00000000-0005-0000-0000-000013010000}"/>
    <cellStyle name="_Costs not in AURORA 2006GRC 6.15.06" xfId="286" xr:uid="{00000000-0005-0000-0000-000014010000}"/>
    <cellStyle name="_Costs not in AURORA 2006GRC 6.15.06_04 07E Wild Horse Wind Expansion (C) (2)" xfId="287" xr:uid="{00000000-0005-0000-0000-000015010000}"/>
    <cellStyle name="_Costs not in AURORA 2006GRC 6.15.06_04 07E Wild Horse Wind Expansion (C) (2)_Adj Bench DR 3 for Initial Briefs (Electric)" xfId="288" xr:uid="{00000000-0005-0000-0000-000016010000}"/>
    <cellStyle name="_Costs not in AURORA 2006GRC 6.15.06_04 07E Wild Horse Wind Expansion (C) (2)_Electric Rev Req Model (2009 GRC) " xfId="289" xr:uid="{00000000-0005-0000-0000-000017010000}"/>
    <cellStyle name="_Costs not in AURORA 2006GRC 6.15.06_04 07E Wild Horse Wind Expansion (C) (2)_Electric Rev Req Model (2009 GRC) Rebuttal REmoval of New  WH Solar AdjustMI" xfId="290" xr:uid="{00000000-0005-0000-0000-000018010000}"/>
    <cellStyle name="_Costs not in AURORA 2006GRC 6.15.06_04 07E Wild Horse Wind Expansion (C) (2)_Electric Rev Req Model (2009 GRC) Revised 01-18-2010" xfId="291" xr:uid="{00000000-0005-0000-0000-000019010000}"/>
    <cellStyle name="_Costs not in AURORA 2006GRC 6.15.06_16.37E Wild Horse Expansion DeferralRevwrkingfile SF" xfId="292" xr:uid="{00000000-0005-0000-0000-00001A010000}"/>
    <cellStyle name="_Costs not in AURORA 2006GRC 6.15.06_2009 GRC Compl Filing - Exhibit D" xfId="293" xr:uid="{00000000-0005-0000-0000-00001B010000}"/>
    <cellStyle name="_Costs not in AURORA 2006GRC 6.15.06_4 31 Regulatory Assets and Liabilities  7 06- Exhibit D" xfId="294" xr:uid="{00000000-0005-0000-0000-00001C010000}"/>
    <cellStyle name="_Costs not in AURORA 2006GRC 6.15.06_4 31 Regulatory Assets and Liabilities  7 06- Exhibit D_NIM Summary" xfId="295" xr:uid="{00000000-0005-0000-0000-00001D010000}"/>
    <cellStyle name="_Costs not in AURORA 2006GRC 6.15.06_4 32 Regulatory Assets and Liabilities  7 06- Exhibit D" xfId="296" xr:uid="{00000000-0005-0000-0000-00001E010000}"/>
    <cellStyle name="_Costs not in AURORA 2006GRC 6.15.06_4 32 Regulatory Assets and Liabilities  7 06- Exhibit D_NIM Summary" xfId="297" xr:uid="{00000000-0005-0000-0000-00001F010000}"/>
    <cellStyle name="_Costs not in AURORA 2006GRC 6.15.06_Book2" xfId="298" xr:uid="{00000000-0005-0000-0000-000020010000}"/>
    <cellStyle name="_Costs not in AURORA 2006GRC 6.15.06_Book2_Adj Bench DR 3 for Initial Briefs (Electric)" xfId="299" xr:uid="{00000000-0005-0000-0000-000021010000}"/>
    <cellStyle name="_Costs not in AURORA 2006GRC 6.15.06_Book2_Electric Rev Req Model (2009 GRC) Rebuttal REmoval of New  WH Solar AdjustMI" xfId="300" xr:uid="{00000000-0005-0000-0000-000022010000}"/>
    <cellStyle name="_Costs not in AURORA 2006GRC 6.15.06_Book2_Electric Rev Req Model (2009 GRC) Revised 01-18-2010" xfId="301" xr:uid="{00000000-0005-0000-0000-000023010000}"/>
    <cellStyle name="_Costs not in AURORA 2006GRC 6.15.06_Book4" xfId="302" xr:uid="{00000000-0005-0000-0000-000024010000}"/>
    <cellStyle name="_Costs not in AURORA 2006GRC 6.15.06_Book9" xfId="303" xr:uid="{00000000-0005-0000-0000-000025010000}"/>
    <cellStyle name="_Costs not in AURORA 2006GRC 6.15.06_NIM Summary" xfId="304" xr:uid="{00000000-0005-0000-0000-000026010000}"/>
    <cellStyle name="_Costs not in AURORA 2006GRC 6.15.06_NIM Summary 09GRC" xfId="305" xr:uid="{00000000-0005-0000-0000-000027010000}"/>
    <cellStyle name="_Costs not in AURORA 2006GRC 6.15.06_PCA 9 -  Exhibit D April 2010 (3)" xfId="306" xr:uid="{00000000-0005-0000-0000-000028010000}"/>
    <cellStyle name="_Costs not in AURORA 2006GRC 6.15.06_Power Costs - Comparison bx Rbtl-Staff-Jt-PC" xfId="307" xr:uid="{00000000-0005-0000-0000-000029010000}"/>
    <cellStyle name="_Costs not in AURORA 2006GRC 6.15.06_Power Costs - Comparison bx Rbtl-Staff-Jt-PC_Adj Bench DR 3 for Initial Briefs (Electric)" xfId="308" xr:uid="{00000000-0005-0000-0000-00002A010000}"/>
    <cellStyle name="_Costs not in AURORA 2006GRC 6.15.06_Power Costs - Comparison bx Rbtl-Staff-Jt-PC_Electric Rev Req Model (2009 GRC) Rebuttal REmoval of New  WH Solar AdjustMI" xfId="309" xr:uid="{00000000-0005-0000-0000-00002B010000}"/>
    <cellStyle name="_Costs not in AURORA 2006GRC 6.15.06_Power Costs - Comparison bx Rbtl-Staff-Jt-PC_Electric Rev Req Model (2009 GRC) Revised 01-18-2010" xfId="310" xr:uid="{00000000-0005-0000-0000-00002C010000}"/>
    <cellStyle name="_Costs not in AURORA 2006GRC 6.15.06_Rebuttal Power Costs" xfId="311" xr:uid="{00000000-0005-0000-0000-00002D010000}"/>
    <cellStyle name="_Costs not in AURORA 2006GRC 6.15.06_Rebuttal Power Costs_Adj Bench DR 3 for Initial Briefs (Electric)" xfId="312" xr:uid="{00000000-0005-0000-0000-00002E010000}"/>
    <cellStyle name="_Costs not in AURORA 2006GRC 6.15.06_Rebuttal Power Costs_Electric Rev Req Model (2009 GRC) Rebuttal REmoval of New  WH Solar AdjustMI" xfId="313" xr:uid="{00000000-0005-0000-0000-00002F010000}"/>
    <cellStyle name="_Costs not in AURORA 2006GRC 6.15.06_Rebuttal Power Costs_Electric Rev Req Model (2009 GRC) Revised 01-18-2010" xfId="314" xr:uid="{00000000-0005-0000-0000-000030010000}"/>
    <cellStyle name="_Costs not in AURORA 2006GRC 6.15.06_Wind Integration 10GRC" xfId="315" xr:uid="{00000000-0005-0000-0000-000031010000}"/>
    <cellStyle name="_Costs not in AURORA 2006GRC w gas price updated" xfId="316" xr:uid="{00000000-0005-0000-0000-000032010000}"/>
    <cellStyle name="_Costs not in AURORA 2006GRC w gas price updated_Adj Bench DR 3 for Initial Briefs (Electric)" xfId="317" xr:uid="{00000000-0005-0000-0000-000033010000}"/>
    <cellStyle name="_Costs not in AURORA 2006GRC w gas price updated_Book2" xfId="318" xr:uid="{00000000-0005-0000-0000-000034010000}"/>
    <cellStyle name="_Costs not in AURORA 2006GRC w gas price updated_Book2_Adj Bench DR 3 for Initial Briefs (Electric)" xfId="319" xr:uid="{00000000-0005-0000-0000-000035010000}"/>
    <cellStyle name="_Costs not in AURORA 2006GRC w gas price updated_Book2_Electric Rev Req Model (2009 GRC) Rebuttal REmoval of New  WH Solar AdjustMI" xfId="320" xr:uid="{00000000-0005-0000-0000-000036010000}"/>
    <cellStyle name="_Costs not in AURORA 2006GRC w gas price updated_Book2_Electric Rev Req Model (2009 GRC) Revised 01-18-2010" xfId="321" xr:uid="{00000000-0005-0000-0000-000037010000}"/>
    <cellStyle name="_Costs not in AURORA 2006GRC w gas price updated_Electric Rev Req Model (2009 GRC) " xfId="322" xr:uid="{00000000-0005-0000-0000-000038010000}"/>
    <cellStyle name="_Costs not in AURORA 2006GRC w gas price updated_Electric Rev Req Model (2009 GRC) Rebuttal REmoval of New  WH Solar AdjustMI" xfId="323" xr:uid="{00000000-0005-0000-0000-000039010000}"/>
    <cellStyle name="_Costs not in AURORA 2006GRC w gas price updated_Electric Rev Req Model (2009 GRC) Revised 01-18-2010" xfId="324" xr:uid="{00000000-0005-0000-0000-00003A010000}"/>
    <cellStyle name="_Costs not in AURORA 2006GRC w gas price updated_NIM Summary" xfId="325" xr:uid="{00000000-0005-0000-0000-00003B010000}"/>
    <cellStyle name="_Costs not in AURORA 2006GRC w gas price updated_Rebuttal Power Costs" xfId="326" xr:uid="{00000000-0005-0000-0000-00003C010000}"/>
    <cellStyle name="_Costs not in AURORA 2006GRC w gas price updated_Rebuttal Power Costs_Adj Bench DR 3 for Initial Briefs (Electric)" xfId="327" xr:uid="{00000000-0005-0000-0000-00003D010000}"/>
    <cellStyle name="_Costs not in AURORA 2006GRC w gas price updated_Rebuttal Power Costs_Electric Rev Req Model (2009 GRC) Rebuttal REmoval of New  WH Solar AdjustMI" xfId="328" xr:uid="{00000000-0005-0000-0000-00003E010000}"/>
    <cellStyle name="_Costs not in AURORA 2006GRC w gas price updated_Rebuttal Power Costs_Electric Rev Req Model (2009 GRC) Revised 01-18-2010" xfId="329" xr:uid="{00000000-0005-0000-0000-00003F010000}"/>
    <cellStyle name="_Costs not in AURORA 2007 Rate Case" xfId="330" xr:uid="{00000000-0005-0000-0000-000040010000}"/>
    <cellStyle name="_Costs not in AURORA 2007 Rate Case_(C) WHE Proforma with ITC cash grant 10 Yr Amort_for deferral_102809" xfId="331" xr:uid="{00000000-0005-0000-0000-000041010000}"/>
    <cellStyle name="_Costs not in AURORA 2007 Rate Case_(C) WHE Proforma with ITC cash grant 10 Yr Amort_for deferral_102809_16.07E Wild Horse Wind Expansionwrkingfile" xfId="332" xr:uid="{00000000-0005-0000-0000-000042010000}"/>
    <cellStyle name="_Costs not in AURORA 2007 Rate Case_(C) WHE Proforma with ITC cash grant 10 Yr Amort_for deferral_102809_16.07E Wild Horse Wind Expansionwrkingfile SF" xfId="333" xr:uid="{00000000-0005-0000-0000-000043010000}"/>
    <cellStyle name="_Costs not in AURORA 2007 Rate Case_(C) WHE Proforma with ITC cash grant 10 Yr Amort_for deferral_102809_16.37E Wild Horse Expansion DeferralRevwrkingfile SF" xfId="334" xr:uid="{00000000-0005-0000-0000-000044010000}"/>
    <cellStyle name="_Costs not in AURORA 2007 Rate Case_(C) WHE Proforma with ITC cash grant 10 Yr Amort_for rebuttal_120709" xfId="335" xr:uid="{00000000-0005-0000-0000-000045010000}"/>
    <cellStyle name="_Costs not in AURORA 2007 Rate Case_04.07E Wild Horse Wind Expansion" xfId="336" xr:uid="{00000000-0005-0000-0000-000046010000}"/>
    <cellStyle name="_Costs not in AURORA 2007 Rate Case_04.07E Wild Horse Wind Expansion_16.07E Wild Horse Wind Expansionwrkingfile" xfId="337" xr:uid="{00000000-0005-0000-0000-000047010000}"/>
    <cellStyle name="_Costs not in AURORA 2007 Rate Case_04.07E Wild Horse Wind Expansion_16.07E Wild Horse Wind Expansionwrkingfile SF" xfId="338" xr:uid="{00000000-0005-0000-0000-000048010000}"/>
    <cellStyle name="_Costs not in AURORA 2007 Rate Case_04.07E Wild Horse Wind Expansion_16.37E Wild Horse Expansion DeferralRevwrkingfile SF" xfId="339" xr:uid="{00000000-0005-0000-0000-000049010000}"/>
    <cellStyle name="_Costs not in AURORA 2007 Rate Case_16.07E Wild Horse Wind Expansionwrkingfile" xfId="340" xr:uid="{00000000-0005-0000-0000-00004A010000}"/>
    <cellStyle name="_Costs not in AURORA 2007 Rate Case_16.07E Wild Horse Wind Expansionwrkingfile SF" xfId="341" xr:uid="{00000000-0005-0000-0000-00004B010000}"/>
    <cellStyle name="_Costs not in AURORA 2007 Rate Case_16.37E Wild Horse Expansion DeferralRevwrkingfile SF" xfId="342" xr:uid="{00000000-0005-0000-0000-00004C010000}"/>
    <cellStyle name="_Costs not in AURORA 2007 Rate Case_2009 GRC Compl Filing - Exhibit D" xfId="343" xr:uid="{00000000-0005-0000-0000-00004D010000}"/>
    <cellStyle name="_Costs not in AURORA 2007 Rate Case_4 31 Regulatory Assets and Liabilities  7 06- Exhibit D" xfId="344" xr:uid="{00000000-0005-0000-0000-00004E010000}"/>
    <cellStyle name="_Costs not in AURORA 2007 Rate Case_4 31 Regulatory Assets and Liabilities  7 06- Exhibit D_NIM Summary" xfId="345" xr:uid="{00000000-0005-0000-0000-00004F010000}"/>
    <cellStyle name="_Costs not in AURORA 2007 Rate Case_4 32 Regulatory Assets and Liabilities  7 06- Exhibit D" xfId="346" xr:uid="{00000000-0005-0000-0000-000050010000}"/>
    <cellStyle name="_Costs not in AURORA 2007 Rate Case_4 32 Regulatory Assets and Liabilities  7 06- Exhibit D_NIM Summary" xfId="347" xr:uid="{00000000-0005-0000-0000-000051010000}"/>
    <cellStyle name="_Costs not in AURORA 2007 Rate Case_Book2" xfId="348" xr:uid="{00000000-0005-0000-0000-000052010000}"/>
    <cellStyle name="_Costs not in AURORA 2007 Rate Case_Book2_Adj Bench DR 3 for Initial Briefs (Electric)" xfId="349" xr:uid="{00000000-0005-0000-0000-000053010000}"/>
    <cellStyle name="_Costs not in AURORA 2007 Rate Case_Book2_Electric Rev Req Model (2009 GRC) Rebuttal REmoval of New  WH Solar AdjustMI" xfId="350" xr:uid="{00000000-0005-0000-0000-000054010000}"/>
    <cellStyle name="_Costs not in AURORA 2007 Rate Case_Book2_Electric Rev Req Model (2009 GRC) Revised 01-18-2010" xfId="351" xr:uid="{00000000-0005-0000-0000-000055010000}"/>
    <cellStyle name="_Costs not in AURORA 2007 Rate Case_Book4" xfId="352" xr:uid="{00000000-0005-0000-0000-000056010000}"/>
    <cellStyle name="_Costs not in AURORA 2007 Rate Case_Book9" xfId="353" xr:uid="{00000000-0005-0000-0000-000057010000}"/>
    <cellStyle name="_Costs not in AURORA 2007 Rate Case_NIM Summary" xfId="354" xr:uid="{00000000-0005-0000-0000-000058010000}"/>
    <cellStyle name="_Costs not in AURORA 2007 Rate Case_NIM Summary 09GRC" xfId="355" xr:uid="{00000000-0005-0000-0000-000059010000}"/>
    <cellStyle name="_Costs not in AURORA 2007 Rate Case_PCA 9 -  Exhibit D April 2010 (3)" xfId="356" xr:uid="{00000000-0005-0000-0000-00005A010000}"/>
    <cellStyle name="_Costs not in AURORA 2007 Rate Case_Power Costs - Comparison bx Rbtl-Staff-Jt-PC" xfId="357" xr:uid="{00000000-0005-0000-0000-00005B010000}"/>
    <cellStyle name="_Costs not in AURORA 2007 Rate Case_Power Costs - Comparison bx Rbtl-Staff-Jt-PC_Adj Bench DR 3 for Initial Briefs (Electric)" xfId="358" xr:uid="{00000000-0005-0000-0000-00005C010000}"/>
    <cellStyle name="_Costs not in AURORA 2007 Rate Case_Power Costs - Comparison bx Rbtl-Staff-Jt-PC_Electric Rev Req Model (2009 GRC) Rebuttal REmoval of New  WH Solar AdjustMI" xfId="359" xr:uid="{00000000-0005-0000-0000-00005D010000}"/>
    <cellStyle name="_Costs not in AURORA 2007 Rate Case_Power Costs - Comparison bx Rbtl-Staff-Jt-PC_Electric Rev Req Model (2009 GRC) Revised 01-18-2010" xfId="360" xr:uid="{00000000-0005-0000-0000-00005E010000}"/>
    <cellStyle name="_Costs not in AURORA 2007 Rate Case_Rebuttal Power Costs" xfId="361" xr:uid="{00000000-0005-0000-0000-00005F010000}"/>
    <cellStyle name="_Costs not in AURORA 2007 Rate Case_Rebuttal Power Costs_Adj Bench DR 3 for Initial Briefs (Electric)" xfId="362" xr:uid="{00000000-0005-0000-0000-000060010000}"/>
    <cellStyle name="_Costs not in AURORA 2007 Rate Case_Rebuttal Power Costs_Electric Rev Req Model (2009 GRC) Rebuttal REmoval of New  WH Solar AdjustMI" xfId="363" xr:uid="{00000000-0005-0000-0000-000061010000}"/>
    <cellStyle name="_Costs not in AURORA 2007 Rate Case_Rebuttal Power Costs_Electric Rev Req Model (2009 GRC) Revised 01-18-2010" xfId="364" xr:uid="{00000000-0005-0000-0000-000062010000}"/>
    <cellStyle name="_Costs not in AURORA 2007 Rate Case_Transmission Workbook for May BOD" xfId="365" xr:uid="{00000000-0005-0000-0000-000063010000}"/>
    <cellStyle name="_Costs not in AURORA 2007 Rate Case_Wind Integration 10GRC" xfId="366" xr:uid="{00000000-0005-0000-0000-000064010000}"/>
    <cellStyle name="_Costs not in KWI3000 '06Budget" xfId="367" xr:uid="{00000000-0005-0000-0000-000065010000}"/>
    <cellStyle name="_Costs not in KWI3000 '06Budget_(C) WHE Proforma with ITC cash grant 10 Yr Amort_for deferral_102809" xfId="368" xr:uid="{00000000-0005-0000-0000-000066010000}"/>
    <cellStyle name="_Costs not in KWI3000 '06Budget_(C) WHE Proforma with ITC cash grant 10 Yr Amort_for deferral_102809_16.07E Wild Horse Wind Expansionwrkingfile" xfId="369" xr:uid="{00000000-0005-0000-0000-000067010000}"/>
    <cellStyle name="_Costs not in KWI3000 '06Budget_(C) WHE Proforma with ITC cash grant 10 Yr Amort_for deferral_102809_16.07E Wild Horse Wind Expansionwrkingfile SF" xfId="370" xr:uid="{00000000-0005-0000-0000-000068010000}"/>
    <cellStyle name="_Costs not in KWI3000 '06Budget_(C) WHE Proforma with ITC cash grant 10 Yr Amort_for deferral_102809_16.37E Wild Horse Expansion DeferralRevwrkingfile SF" xfId="371" xr:uid="{00000000-0005-0000-0000-000069010000}"/>
    <cellStyle name="_Costs not in KWI3000 '06Budget_(C) WHE Proforma with ITC cash grant 10 Yr Amort_for rebuttal_120709" xfId="372" xr:uid="{00000000-0005-0000-0000-00006A010000}"/>
    <cellStyle name="_Costs not in KWI3000 '06Budget_04.07E Wild Horse Wind Expansion" xfId="373" xr:uid="{00000000-0005-0000-0000-00006B010000}"/>
    <cellStyle name="_Costs not in KWI3000 '06Budget_04.07E Wild Horse Wind Expansion_16.07E Wild Horse Wind Expansionwrkingfile" xfId="374" xr:uid="{00000000-0005-0000-0000-00006C010000}"/>
    <cellStyle name="_Costs not in KWI3000 '06Budget_04.07E Wild Horse Wind Expansion_16.07E Wild Horse Wind Expansionwrkingfile SF" xfId="375" xr:uid="{00000000-0005-0000-0000-00006D010000}"/>
    <cellStyle name="_Costs not in KWI3000 '06Budget_04.07E Wild Horse Wind Expansion_16.37E Wild Horse Expansion DeferralRevwrkingfile SF" xfId="376" xr:uid="{00000000-0005-0000-0000-00006E010000}"/>
    <cellStyle name="_Costs not in KWI3000 '06Budget_16.07E Wild Horse Wind Expansionwrkingfile" xfId="377" xr:uid="{00000000-0005-0000-0000-00006F010000}"/>
    <cellStyle name="_Costs not in KWI3000 '06Budget_16.07E Wild Horse Wind Expansionwrkingfile SF" xfId="378" xr:uid="{00000000-0005-0000-0000-000070010000}"/>
    <cellStyle name="_Costs not in KWI3000 '06Budget_16.37E Wild Horse Expansion DeferralRevwrkingfile SF" xfId="379" xr:uid="{00000000-0005-0000-0000-000071010000}"/>
    <cellStyle name="_Costs not in KWI3000 '06Budget_2009 GRC Compl Filing - Exhibit D" xfId="380" xr:uid="{00000000-0005-0000-0000-000072010000}"/>
    <cellStyle name="_Costs not in KWI3000 '06Budget_4 31 Regulatory Assets and Liabilities  7 06- Exhibit D" xfId="381" xr:uid="{00000000-0005-0000-0000-000073010000}"/>
    <cellStyle name="_Costs not in KWI3000 '06Budget_4 31 Regulatory Assets and Liabilities  7 06- Exhibit D_NIM Summary" xfId="382" xr:uid="{00000000-0005-0000-0000-000074010000}"/>
    <cellStyle name="_Costs not in KWI3000 '06Budget_4 32 Regulatory Assets and Liabilities  7 06- Exhibit D" xfId="383" xr:uid="{00000000-0005-0000-0000-000075010000}"/>
    <cellStyle name="_Costs not in KWI3000 '06Budget_4 32 Regulatory Assets and Liabilities  7 06- Exhibit D_NIM Summary" xfId="384" xr:uid="{00000000-0005-0000-0000-000076010000}"/>
    <cellStyle name="_Costs not in KWI3000 '06Budget_Book2" xfId="385" xr:uid="{00000000-0005-0000-0000-000077010000}"/>
    <cellStyle name="_Costs not in KWI3000 '06Budget_Book2_Adj Bench DR 3 for Initial Briefs (Electric)" xfId="386" xr:uid="{00000000-0005-0000-0000-000078010000}"/>
    <cellStyle name="_Costs not in KWI3000 '06Budget_Book2_Electric Rev Req Model (2009 GRC) Rebuttal REmoval of New  WH Solar AdjustMI" xfId="387" xr:uid="{00000000-0005-0000-0000-000079010000}"/>
    <cellStyle name="_Costs not in KWI3000 '06Budget_Book2_Electric Rev Req Model (2009 GRC) Revised 01-18-2010" xfId="388" xr:uid="{00000000-0005-0000-0000-00007A010000}"/>
    <cellStyle name="_Costs not in KWI3000 '06Budget_Book4" xfId="389" xr:uid="{00000000-0005-0000-0000-00007B010000}"/>
    <cellStyle name="_Costs not in KWI3000 '06Budget_Book9" xfId="390" xr:uid="{00000000-0005-0000-0000-00007C010000}"/>
    <cellStyle name="_Costs not in KWI3000 '06Budget_Exhibit D fr R Gho 12-31-08" xfId="391" xr:uid="{00000000-0005-0000-0000-00007D010000}"/>
    <cellStyle name="_Costs not in KWI3000 '06Budget_Exhibit D fr R Gho 12-31-08 v2" xfId="392" xr:uid="{00000000-0005-0000-0000-00007E010000}"/>
    <cellStyle name="_Costs not in KWI3000 '06Budget_Exhibit D fr R Gho 12-31-08 v2_NIM Summary" xfId="393" xr:uid="{00000000-0005-0000-0000-00007F010000}"/>
    <cellStyle name="_Costs not in KWI3000 '06Budget_Exhibit D fr R Gho 12-31-08_NIM Summary" xfId="394" xr:uid="{00000000-0005-0000-0000-000080010000}"/>
    <cellStyle name="_Costs not in KWI3000 '06Budget_Hopkins Ridge Prepaid Tran - Interest Earned RY 12ME Feb  '11" xfId="395" xr:uid="{00000000-0005-0000-0000-000081010000}"/>
    <cellStyle name="_Costs not in KWI3000 '06Budget_Hopkins Ridge Prepaid Tran - Interest Earned RY 12ME Feb  '11_NIM Summary" xfId="396" xr:uid="{00000000-0005-0000-0000-000082010000}"/>
    <cellStyle name="_Costs not in KWI3000 '06Budget_Hopkins Ridge Prepaid Tran - Interest Earned RY 12ME Feb  '11_Transmission Workbook for May BOD" xfId="397" xr:uid="{00000000-0005-0000-0000-000083010000}"/>
    <cellStyle name="_Costs not in KWI3000 '06Budget_NIM Summary" xfId="398" xr:uid="{00000000-0005-0000-0000-000084010000}"/>
    <cellStyle name="_Costs not in KWI3000 '06Budget_NIM Summary 09GRC" xfId="399" xr:uid="{00000000-0005-0000-0000-000085010000}"/>
    <cellStyle name="_Costs not in KWI3000 '06Budget_PCA 7 - Exhibit D update 11_30_08 (2)" xfId="400" xr:uid="{00000000-0005-0000-0000-000086010000}"/>
    <cellStyle name="_Costs not in KWI3000 '06Budget_PCA 7 - Exhibit D update 11_30_08 (2)_NIM Summary" xfId="401" xr:uid="{00000000-0005-0000-0000-000087010000}"/>
    <cellStyle name="_Costs not in KWI3000 '06Budget_PCA 9 -  Exhibit D April 2010 (3)" xfId="402" xr:uid="{00000000-0005-0000-0000-000088010000}"/>
    <cellStyle name="_Costs not in KWI3000 '06Budget_Power Costs - Comparison bx Rbtl-Staff-Jt-PC" xfId="403" xr:uid="{00000000-0005-0000-0000-000089010000}"/>
    <cellStyle name="_Costs not in KWI3000 '06Budget_Power Costs - Comparison bx Rbtl-Staff-Jt-PC_Adj Bench DR 3 for Initial Briefs (Electric)" xfId="404" xr:uid="{00000000-0005-0000-0000-00008A010000}"/>
    <cellStyle name="_Costs not in KWI3000 '06Budget_Power Costs - Comparison bx Rbtl-Staff-Jt-PC_Electric Rev Req Model (2009 GRC) Rebuttal REmoval of New  WH Solar AdjustMI" xfId="405" xr:uid="{00000000-0005-0000-0000-00008B010000}"/>
    <cellStyle name="_Costs not in KWI3000 '06Budget_Power Costs - Comparison bx Rbtl-Staff-Jt-PC_Electric Rev Req Model (2009 GRC) Revised 01-18-2010" xfId="406" xr:uid="{00000000-0005-0000-0000-00008C010000}"/>
    <cellStyle name="_Costs not in KWI3000 '06Budget_Rebuttal Power Costs" xfId="407" xr:uid="{00000000-0005-0000-0000-00008D010000}"/>
    <cellStyle name="_Costs not in KWI3000 '06Budget_Rebuttal Power Costs_Adj Bench DR 3 for Initial Briefs (Electric)" xfId="408" xr:uid="{00000000-0005-0000-0000-00008E010000}"/>
    <cellStyle name="_Costs not in KWI3000 '06Budget_Rebuttal Power Costs_Electric Rev Req Model (2009 GRC) Rebuttal REmoval of New  WH Solar AdjustMI" xfId="409" xr:uid="{00000000-0005-0000-0000-00008F010000}"/>
    <cellStyle name="_Costs not in KWI3000 '06Budget_Rebuttal Power Costs_Electric Rev Req Model (2009 GRC) Revised 01-18-2010" xfId="410" xr:uid="{00000000-0005-0000-0000-000090010000}"/>
    <cellStyle name="_Costs not in KWI3000 '06Budget_Transmission Workbook for May BOD" xfId="411" xr:uid="{00000000-0005-0000-0000-000091010000}"/>
    <cellStyle name="_Costs not in KWI3000 '06Budget_Wind Integration 10GRC" xfId="412" xr:uid="{00000000-0005-0000-0000-000092010000}"/>
    <cellStyle name="_DEM-WP (C) Costs not in AURORA 2006GRC Order 11.30.06 Gas" xfId="413" xr:uid="{00000000-0005-0000-0000-000093010000}"/>
    <cellStyle name="_DEM-WP (C) Costs not in AURORA 2006GRC Order 11.30.06 Gas_NIM Summary" xfId="414" xr:uid="{00000000-0005-0000-0000-000094010000}"/>
    <cellStyle name="_DEM-WP (C) Power Cost 2006GRC Order" xfId="415" xr:uid="{00000000-0005-0000-0000-000095010000}"/>
    <cellStyle name="_DEM-WP (C) Power Cost 2006GRC Order_04 07E Wild Horse Wind Expansion (C) (2)" xfId="416" xr:uid="{00000000-0005-0000-0000-000096010000}"/>
    <cellStyle name="_DEM-WP (C) Power Cost 2006GRC Order_04 07E Wild Horse Wind Expansion (C) (2)_Adj Bench DR 3 for Initial Briefs (Electric)" xfId="417" xr:uid="{00000000-0005-0000-0000-000097010000}"/>
    <cellStyle name="_DEM-WP (C) Power Cost 2006GRC Order_04 07E Wild Horse Wind Expansion (C) (2)_Electric Rev Req Model (2009 GRC) " xfId="418" xr:uid="{00000000-0005-0000-0000-000098010000}"/>
    <cellStyle name="_DEM-WP (C) Power Cost 2006GRC Order_04 07E Wild Horse Wind Expansion (C) (2)_Electric Rev Req Model (2009 GRC) Rebuttal REmoval of New  WH Solar AdjustMI" xfId="419" xr:uid="{00000000-0005-0000-0000-000099010000}"/>
    <cellStyle name="_DEM-WP (C) Power Cost 2006GRC Order_04 07E Wild Horse Wind Expansion (C) (2)_Electric Rev Req Model (2009 GRC) Revised 01-18-2010" xfId="420" xr:uid="{00000000-0005-0000-0000-00009A010000}"/>
    <cellStyle name="_DEM-WP (C) Power Cost 2006GRC Order_16.37E Wild Horse Expansion DeferralRevwrkingfile SF" xfId="421" xr:uid="{00000000-0005-0000-0000-00009B010000}"/>
    <cellStyle name="_DEM-WP (C) Power Cost 2006GRC Order_2009 GRC Compl Filing - Exhibit D" xfId="422" xr:uid="{00000000-0005-0000-0000-00009C010000}"/>
    <cellStyle name="_DEM-WP (C) Power Cost 2006GRC Order_4 31 Regulatory Assets and Liabilities  7 06- Exhibit D" xfId="423" xr:uid="{00000000-0005-0000-0000-00009D010000}"/>
    <cellStyle name="_DEM-WP (C) Power Cost 2006GRC Order_4 31 Regulatory Assets and Liabilities  7 06- Exhibit D_NIM Summary" xfId="424" xr:uid="{00000000-0005-0000-0000-00009E010000}"/>
    <cellStyle name="_DEM-WP (C) Power Cost 2006GRC Order_4 32 Regulatory Assets and Liabilities  7 06- Exhibit D" xfId="425" xr:uid="{00000000-0005-0000-0000-00009F010000}"/>
    <cellStyle name="_DEM-WP (C) Power Cost 2006GRC Order_4 32 Regulatory Assets and Liabilities  7 06- Exhibit D_NIM Summary" xfId="426" xr:uid="{00000000-0005-0000-0000-0000A0010000}"/>
    <cellStyle name="_DEM-WP (C) Power Cost 2006GRC Order_Book2" xfId="427" xr:uid="{00000000-0005-0000-0000-0000A1010000}"/>
    <cellStyle name="_DEM-WP (C) Power Cost 2006GRC Order_Book2_Adj Bench DR 3 for Initial Briefs (Electric)" xfId="428" xr:uid="{00000000-0005-0000-0000-0000A2010000}"/>
    <cellStyle name="_DEM-WP (C) Power Cost 2006GRC Order_Book2_Electric Rev Req Model (2009 GRC) Rebuttal REmoval of New  WH Solar AdjustMI" xfId="429" xr:uid="{00000000-0005-0000-0000-0000A3010000}"/>
    <cellStyle name="_DEM-WP (C) Power Cost 2006GRC Order_Book2_Electric Rev Req Model (2009 GRC) Revised 01-18-2010" xfId="430" xr:uid="{00000000-0005-0000-0000-0000A4010000}"/>
    <cellStyle name="_DEM-WP (C) Power Cost 2006GRC Order_Book4" xfId="431" xr:uid="{00000000-0005-0000-0000-0000A5010000}"/>
    <cellStyle name="_DEM-WP (C) Power Cost 2006GRC Order_Book9" xfId="432" xr:uid="{00000000-0005-0000-0000-0000A6010000}"/>
    <cellStyle name="_DEM-WP (C) Power Cost 2006GRC Order_NIM Summary" xfId="433" xr:uid="{00000000-0005-0000-0000-0000A7010000}"/>
    <cellStyle name="_DEM-WP (C) Power Cost 2006GRC Order_NIM Summary 09GRC" xfId="434" xr:uid="{00000000-0005-0000-0000-0000A8010000}"/>
    <cellStyle name="_DEM-WP (C) Power Cost 2006GRC Order_PCA 9 -  Exhibit D April 2010 (3)" xfId="435" xr:uid="{00000000-0005-0000-0000-0000A9010000}"/>
    <cellStyle name="_DEM-WP (C) Power Cost 2006GRC Order_Power Costs - Comparison bx Rbtl-Staff-Jt-PC" xfId="436" xr:uid="{00000000-0005-0000-0000-0000AA010000}"/>
    <cellStyle name="_DEM-WP (C) Power Cost 2006GRC Order_Power Costs - Comparison bx Rbtl-Staff-Jt-PC_Adj Bench DR 3 for Initial Briefs (Electric)" xfId="437" xr:uid="{00000000-0005-0000-0000-0000AB010000}"/>
    <cellStyle name="_DEM-WP (C) Power Cost 2006GRC Order_Power Costs - Comparison bx Rbtl-Staff-Jt-PC_Electric Rev Req Model (2009 GRC) Rebuttal REmoval of New  WH Solar AdjustMI" xfId="438" xr:uid="{00000000-0005-0000-0000-0000AC010000}"/>
    <cellStyle name="_DEM-WP (C) Power Cost 2006GRC Order_Power Costs - Comparison bx Rbtl-Staff-Jt-PC_Electric Rev Req Model (2009 GRC) Revised 01-18-2010" xfId="439" xr:uid="{00000000-0005-0000-0000-0000AD010000}"/>
    <cellStyle name="_DEM-WP (C) Power Cost 2006GRC Order_Rebuttal Power Costs" xfId="440" xr:uid="{00000000-0005-0000-0000-0000AE010000}"/>
    <cellStyle name="_DEM-WP (C) Power Cost 2006GRC Order_Rebuttal Power Costs_Adj Bench DR 3 for Initial Briefs (Electric)" xfId="441" xr:uid="{00000000-0005-0000-0000-0000AF010000}"/>
    <cellStyle name="_DEM-WP (C) Power Cost 2006GRC Order_Rebuttal Power Costs_Electric Rev Req Model (2009 GRC) Rebuttal REmoval of New  WH Solar AdjustMI" xfId="442" xr:uid="{00000000-0005-0000-0000-0000B0010000}"/>
    <cellStyle name="_DEM-WP (C) Power Cost 2006GRC Order_Rebuttal Power Costs_Electric Rev Req Model (2009 GRC) Revised 01-18-2010" xfId="443" xr:uid="{00000000-0005-0000-0000-0000B1010000}"/>
    <cellStyle name="_DEM-WP (C) Power Cost 2006GRC Order_Wind Integration 10GRC" xfId="444" xr:uid="{00000000-0005-0000-0000-0000B2010000}"/>
    <cellStyle name="_DEM-WP Revised (HC) Wild Horse 2006GRC" xfId="445" xr:uid="{00000000-0005-0000-0000-0000B3010000}"/>
    <cellStyle name="_DEM-WP Revised (HC) Wild Horse 2006GRC_16.37E Wild Horse Expansion DeferralRevwrkingfile SF" xfId="446" xr:uid="{00000000-0005-0000-0000-0000B4010000}"/>
    <cellStyle name="_DEM-WP Revised (HC) Wild Horse 2006GRC_2009 GRC Compl Filing - Exhibit D" xfId="447" xr:uid="{00000000-0005-0000-0000-0000B5010000}"/>
    <cellStyle name="_DEM-WP Revised (HC) Wild Horse 2006GRC_Adj Bench DR 3 for Initial Briefs (Electric)" xfId="448" xr:uid="{00000000-0005-0000-0000-0000B6010000}"/>
    <cellStyle name="_DEM-WP Revised (HC) Wild Horse 2006GRC_Book2" xfId="449" xr:uid="{00000000-0005-0000-0000-0000B7010000}"/>
    <cellStyle name="_DEM-WP Revised (HC) Wild Horse 2006GRC_Book4" xfId="450" xr:uid="{00000000-0005-0000-0000-0000B8010000}"/>
    <cellStyle name="_DEM-WP Revised (HC) Wild Horse 2006GRC_Electric Rev Req Model (2009 GRC) " xfId="451" xr:uid="{00000000-0005-0000-0000-0000B9010000}"/>
    <cellStyle name="_DEM-WP Revised (HC) Wild Horse 2006GRC_Electric Rev Req Model (2009 GRC) Rebuttal REmoval of New  WH Solar AdjustMI" xfId="452" xr:uid="{00000000-0005-0000-0000-0000BA010000}"/>
    <cellStyle name="_DEM-WP Revised (HC) Wild Horse 2006GRC_Electric Rev Req Model (2009 GRC) Revised 01-18-2010" xfId="453" xr:uid="{00000000-0005-0000-0000-0000BB010000}"/>
    <cellStyle name="_DEM-WP Revised (HC) Wild Horse 2006GRC_NIM Summary" xfId="454" xr:uid="{00000000-0005-0000-0000-0000BC010000}"/>
    <cellStyle name="_DEM-WP Revised (HC) Wild Horse 2006GRC_Power Costs - Comparison bx Rbtl-Staff-Jt-PC" xfId="455" xr:uid="{00000000-0005-0000-0000-0000BD010000}"/>
    <cellStyle name="_DEM-WP Revised (HC) Wild Horse 2006GRC_Rebuttal Power Costs" xfId="456" xr:uid="{00000000-0005-0000-0000-0000BE010000}"/>
    <cellStyle name="_DEM-WP(C) Colstrip FOR" xfId="457" xr:uid="{00000000-0005-0000-0000-0000BF010000}"/>
    <cellStyle name="_DEM-WP(C) Colstrip FOR_(C) WHE Proforma with ITC cash grant 10 Yr Amort_for rebuttal_120709" xfId="458" xr:uid="{00000000-0005-0000-0000-0000C0010000}"/>
    <cellStyle name="_DEM-WP(C) Colstrip FOR_16.07E Wild Horse Wind Expansionwrkingfile" xfId="459" xr:uid="{00000000-0005-0000-0000-0000C1010000}"/>
    <cellStyle name="_DEM-WP(C) Colstrip FOR_16.07E Wild Horse Wind Expansionwrkingfile SF" xfId="460" xr:uid="{00000000-0005-0000-0000-0000C2010000}"/>
    <cellStyle name="_DEM-WP(C) Colstrip FOR_16.37E Wild Horse Expansion DeferralRevwrkingfile SF" xfId="461" xr:uid="{00000000-0005-0000-0000-0000C3010000}"/>
    <cellStyle name="_DEM-WP(C) Colstrip FOR_Adj Bench DR 3 for Initial Briefs (Electric)" xfId="462" xr:uid="{00000000-0005-0000-0000-0000C4010000}"/>
    <cellStyle name="_DEM-WP(C) Colstrip FOR_Book2" xfId="463" xr:uid="{00000000-0005-0000-0000-0000C5010000}"/>
    <cellStyle name="_DEM-WP(C) Colstrip FOR_Book2_Adj Bench DR 3 for Initial Briefs (Electric)" xfId="464" xr:uid="{00000000-0005-0000-0000-0000C6010000}"/>
    <cellStyle name="_DEM-WP(C) Colstrip FOR_Book2_Electric Rev Req Model (2009 GRC) Rebuttal REmoval of New  WH Solar AdjustMI" xfId="465" xr:uid="{00000000-0005-0000-0000-0000C7010000}"/>
    <cellStyle name="_DEM-WP(C) Colstrip FOR_Book2_Electric Rev Req Model (2009 GRC) Revised 01-18-2010" xfId="466" xr:uid="{00000000-0005-0000-0000-0000C8010000}"/>
    <cellStyle name="_DEM-WP(C) Colstrip FOR_Electric Rev Req Model (2009 GRC) Rebuttal REmoval of New  WH Solar AdjustMI" xfId="467" xr:uid="{00000000-0005-0000-0000-0000C9010000}"/>
    <cellStyle name="_DEM-WP(C) Colstrip FOR_Electric Rev Req Model (2009 GRC) Revised 01-18-2010" xfId="468" xr:uid="{00000000-0005-0000-0000-0000CA010000}"/>
    <cellStyle name="_DEM-WP(C) Colstrip FOR_Rebuttal Power Costs" xfId="469" xr:uid="{00000000-0005-0000-0000-0000CB010000}"/>
    <cellStyle name="_DEM-WP(C) Colstrip FOR_Rebuttal Power Costs_Adj Bench DR 3 for Initial Briefs (Electric)" xfId="470" xr:uid="{00000000-0005-0000-0000-0000CC010000}"/>
    <cellStyle name="_DEM-WP(C) Colstrip FOR_Rebuttal Power Costs_Electric Rev Req Model (2009 GRC) Rebuttal REmoval of New  WH Solar AdjustMI" xfId="471" xr:uid="{00000000-0005-0000-0000-0000CD010000}"/>
    <cellStyle name="_DEM-WP(C) Colstrip FOR_Rebuttal Power Costs_Electric Rev Req Model (2009 GRC) Revised 01-18-2010" xfId="472" xr:uid="{00000000-0005-0000-0000-0000CE010000}"/>
    <cellStyle name="_DEM-WP(C) Costs not in AURORA 2006GRC" xfId="473" xr:uid="{00000000-0005-0000-0000-0000CF010000}"/>
    <cellStyle name="_DEM-WP(C) Costs not in AURORA 2006GRC_(C) WHE Proforma with ITC cash grant 10 Yr Amort_for deferral_102809" xfId="474" xr:uid="{00000000-0005-0000-0000-0000D0010000}"/>
    <cellStyle name="_DEM-WP(C) Costs not in AURORA 2006GRC_(C) WHE Proforma with ITC cash grant 10 Yr Amort_for deferral_102809_16.07E Wild Horse Wind Expansionwrkingfile" xfId="475" xr:uid="{00000000-0005-0000-0000-0000D1010000}"/>
    <cellStyle name="_DEM-WP(C) Costs not in AURORA 2006GRC_(C) WHE Proforma with ITC cash grant 10 Yr Amort_for deferral_102809_16.07E Wild Horse Wind Expansionwrkingfile SF" xfId="476" xr:uid="{00000000-0005-0000-0000-0000D2010000}"/>
    <cellStyle name="_DEM-WP(C) Costs not in AURORA 2006GRC_(C) WHE Proforma with ITC cash grant 10 Yr Amort_for deferral_102809_16.37E Wild Horse Expansion DeferralRevwrkingfile SF" xfId="477" xr:uid="{00000000-0005-0000-0000-0000D3010000}"/>
    <cellStyle name="_DEM-WP(C) Costs not in AURORA 2006GRC_(C) WHE Proforma with ITC cash grant 10 Yr Amort_for rebuttal_120709" xfId="478" xr:uid="{00000000-0005-0000-0000-0000D4010000}"/>
    <cellStyle name="_DEM-WP(C) Costs not in AURORA 2006GRC_04.07E Wild Horse Wind Expansion" xfId="479" xr:uid="{00000000-0005-0000-0000-0000D5010000}"/>
    <cellStyle name="_DEM-WP(C) Costs not in AURORA 2006GRC_04.07E Wild Horse Wind Expansion_16.07E Wild Horse Wind Expansionwrkingfile" xfId="480" xr:uid="{00000000-0005-0000-0000-0000D6010000}"/>
    <cellStyle name="_DEM-WP(C) Costs not in AURORA 2006GRC_04.07E Wild Horse Wind Expansion_16.07E Wild Horse Wind Expansionwrkingfile SF" xfId="481" xr:uid="{00000000-0005-0000-0000-0000D7010000}"/>
    <cellStyle name="_DEM-WP(C) Costs not in AURORA 2006GRC_04.07E Wild Horse Wind Expansion_16.37E Wild Horse Expansion DeferralRevwrkingfile SF" xfId="482" xr:uid="{00000000-0005-0000-0000-0000D8010000}"/>
    <cellStyle name="_DEM-WP(C) Costs not in AURORA 2006GRC_16.07E Wild Horse Wind Expansionwrkingfile" xfId="483" xr:uid="{00000000-0005-0000-0000-0000D9010000}"/>
    <cellStyle name="_DEM-WP(C) Costs not in AURORA 2006GRC_16.07E Wild Horse Wind Expansionwrkingfile SF" xfId="484" xr:uid="{00000000-0005-0000-0000-0000DA010000}"/>
    <cellStyle name="_DEM-WP(C) Costs not in AURORA 2006GRC_16.37E Wild Horse Expansion DeferralRevwrkingfile SF" xfId="485" xr:uid="{00000000-0005-0000-0000-0000DB010000}"/>
    <cellStyle name="_DEM-WP(C) Costs not in AURORA 2006GRC_2009 GRC Compl Filing - Exhibit D" xfId="486" xr:uid="{00000000-0005-0000-0000-0000DC010000}"/>
    <cellStyle name="_DEM-WP(C) Costs not in AURORA 2006GRC_4 31 Regulatory Assets and Liabilities  7 06- Exhibit D" xfId="487" xr:uid="{00000000-0005-0000-0000-0000DD010000}"/>
    <cellStyle name="_DEM-WP(C) Costs not in AURORA 2006GRC_4 31 Regulatory Assets and Liabilities  7 06- Exhibit D_NIM Summary" xfId="488" xr:uid="{00000000-0005-0000-0000-0000DE010000}"/>
    <cellStyle name="_DEM-WP(C) Costs not in AURORA 2006GRC_4 32 Regulatory Assets and Liabilities  7 06- Exhibit D" xfId="489" xr:uid="{00000000-0005-0000-0000-0000DF010000}"/>
    <cellStyle name="_DEM-WP(C) Costs not in AURORA 2006GRC_4 32 Regulatory Assets and Liabilities  7 06- Exhibit D_NIM Summary" xfId="490" xr:uid="{00000000-0005-0000-0000-0000E0010000}"/>
    <cellStyle name="_DEM-WP(C) Costs not in AURORA 2006GRC_Book2" xfId="491" xr:uid="{00000000-0005-0000-0000-0000E1010000}"/>
    <cellStyle name="_DEM-WP(C) Costs not in AURORA 2006GRC_Book2_Adj Bench DR 3 for Initial Briefs (Electric)" xfId="492" xr:uid="{00000000-0005-0000-0000-0000E2010000}"/>
    <cellStyle name="_DEM-WP(C) Costs not in AURORA 2006GRC_Book2_Electric Rev Req Model (2009 GRC) Rebuttal REmoval of New  WH Solar AdjustMI" xfId="493" xr:uid="{00000000-0005-0000-0000-0000E3010000}"/>
    <cellStyle name="_DEM-WP(C) Costs not in AURORA 2006GRC_Book2_Electric Rev Req Model (2009 GRC) Revised 01-18-2010" xfId="494" xr:uid="{00000000-0005-0000-0000-0000E4010000}"/>
    <cellStyle name="_DEM-WP(C) Costs not in AURORA 2006GRC_Book4" xfId="495" xr:uid="{00000000-0005-0000-0000-0000E5010000}"/>
    <cellStyle name="_DEM-WP(C) Costs not in AURORA 2006GRC_Book9" xfId="496" xr:uid="{00000000-0005-0000-0000-0000E6010000}"/>
    <cellStyle name="_DEM-WP(C) Costs not in AURORA 2006GRC_NIM Summary" xfId="497" xr:uid="{00000000-0005-0000-0000-0000E7010000}"/>
    <cellStyle name="_DEM-WP(C) Costs not in AURORA 2006GRC_NIM Summary 09GRC" xfId="498" xr:uid="{00000000-0005-0000-0000-0000E8010000}"/>
    <cellStyle name="_DEM-WP(C) Costs not in AURORA 2006GRC_PCA 9 -  Exhibit D April 2010 (3)" xfId="499" xr:uid="{00000000-0005-0000-0000-0000E9010000}"/>
    <cellStyle name="_DEM-WP(C) Costs not in AURORA 2006GRC_Power Costs - Comparison bx Rbtl-Staff-Jt-PC" xfId="500" xr:uid="{00000000-0005-0000-0000-0000EA010000}"/>
    <cellStyle name="_DEM-WP(C) Costs not in AURORA 2006GRC_Power Costs - Comparison bx Rbtl-Staff-Jt-PC_Adj Bench DR 3 for Initial Briefs (Electric)" xfId="501" xr:uid="{00000000-0005-0000-0000-0000EB010000}"/>
    <cellStyle name="_DEM-WP(C) Costs not in AURORA 2006GRC_Power Costs - Comparison bx Rbtl-Staff-Jt-PC_Electric Rev Req Model (2009 GRC) Rebuttal REmoval of New  WH Solar AdjustMI" xfId="502" xr:uid="{00000000-0005-0000-0000-0000EC010000}"/>
    <cellStyle name="_DEM-WP(C) Costs not in AURORA 2006GRC_Power Costs - Comparison bx Rbtl-Staff-Jt-PC_Electric Rev Req Model (2009 GRC) Revised 01-18-2010" xfId="503" xr:uid="{00000000-0005-0000-0000-0000ED010000}"/>
    <cellStyle name="_DEM-WP(C) Costs not in AURORA 2006GRC_Rebuttal Power Costs" xfId="504" xr:uid="{00000000-0005-0000-0000-0000EE010000}"/>
    <cellStyle name="_DEM-WP(C) Costs not in AURORA 2006GRC_Rebuttal Power Costs_Adj Bench DR 3 for Initial Briefs (Electric)" xfId="505" xr:uid="{00000000-0005-0000-0000-0000EF010000}"/>
    <cellStyle name="_DEM-WP(C) Costs not in AURORA 2006GRC_Rebuttal Power Costs_Electric Rev Req Model (2009 GRC) Rebuttal REmoval of New  WH Solar AdjustMI" xfId="506" xr:uid="{00000000-0005-0000-0000-0000F0010000}"/>
    <cellStyle name="_DEM-WP(C) Costs not in AURORA 2006GRC_Rebuttal Power Costs_Electric Rev Req Model (2009 GRC) Revised 01-18-2010" xfId="507" xr:uid="{00000000-0005-0000-0000-0000F1010000}"/>
    <cellStyle name="_DEM-WP(C) Costs not in AURORA 2006GRC_Transmission Workbook for May BOD" xfId="508" xr:uid="{00000000-0005-0000-0000-0000F2010000}"/>
    <cellStyle name="_DEM-WP(C) Costs not in AURORA 2006GRC_Wind Integration 10GRC" xfId="509" xr:uid="{00000000-0005-0000-0000-0000F3010000}"/>
    <cellStyle name="_DEM-WP(C) Costs not in AURORA 2007GRC" xfId="510" xr:uid="{00000000-0005-0000-0000-0000F4010000}"/>
    <cellStyle name="_DEM-WP(C) Costs not in AURORA 2007GRC Update" xfId="511" xr:uid="{00000000-0005-0000-0000-0000F5010000}"/>
    <cellStyle name="_DEM-WP(C) Costs not in AURORA 2007GRC Update_NIM Summary" xfId="512" xr:uid="{00000000-0005-0000-0000-0000F6010000}"/>
    <cellStyle name="_DEM-WP(C) Costs not in AURORA 2007GRC_16.37E Wild Horse Expansion DeferralRevwrkingfile SF" xfId="513" xr:uid="{00000000-0005-0000-0000-0000F7010000}"/>
    <cellStyle name="_DEM-WP(C) Costs not in AURORA 2007GRC_2009 GRC Compl Filing - Exhibit D" xfId="514" xr:uid="{00000000-0005-0000-0000-0000F8010000}"/>
    <cellStyle name="_DEM-WP(C) Costs not in AURORA 2007GRC_Adj Bench DR 3 for Initial Briefs (Electric)" xfId="515" xr:uid="{00000000-0005-0000-0000-0000F9010000}"/>
    <cellStyle name="_DEM-WP(C) Costs not in AURORA 2007GRC_Book2" xfId="516" xr:uid="{00000000-0005-0000-0000-0000FA010000}"/>
    <cellStyle name="_DEM-WP(C) Costs not in AURORA 2007GRC_Book4" xfId="517" xr:uid="{00000000-0005-0000-0000-0000FB010000}"/>
    <cellStyle name="_DEM-WP(C) Costs not in AURORA 2007GRC_Electric Rev Req Model (2009 GRC) " xfId="518" xr:uid="{00000000-0005-0000-0000-0000FC010000}"/>
    <cellStyle name="_DEM-WP(C) Costs not in AURORA 2007GRC_Electric Rev Req Model (2009 GRC) Rebuttal REmoval of New  WH Solar AdjustMI" xfId="519" xr:uid="{00000000-0005-0000-0000-0000FD010000}"/>
    <cellStyle name="_DEM-WP(C) Costs not in AURORA 2007GRC_Electric Rev Req Model (2009 GRC) Revised 01-18-2010" xfId="520" xr:uid="{00000000-0005-0000-0000-0000FE010000}"/>
    <cellStyle name="_DEM-WP(C) Costs not in AURORA 2007GRC_NIM Summary" xfId="521" xr:uid="{00000000-0005-0000-0000-0000FF010000}"/>
    <cellStyle name="_DEM-WP(C) Costs not in AURORA 2007GRC_Power Costs - Comparison bx Rbtl-Staff-Jt-PC" xfId="522" xr:uid="{00000000-0005-0000-0000-000000020000}"/>
    <cellStyle name="_DEM-WP(C) Costs not in AURORA 2007GRC_Rebuttal Power Costs" xfId="523" xr:uid="{00000000-0005-0000-0000-000001020000}"/>
    <cellStyle name="_DEM-WP(C) Costs not in AURORA 2007PCORC" xfId="524" xr:uid="{00000000-0005-0000-0000-000002020000}"/>
    <cellStyle name="_DEM-WP(C) Costs not in AURORA 2007PCORC_NIM Summary" xfId="525" xr:uid="{00000000-0005-0000-0000-000003020000}"/>
    <cellStyle name="_DEM-WP(C) Costs not in AURORA 2007PCORC-5.07Update" xfId="526" xr:uid="{00000000-0005-0000-0000-000004020000}"/>
    <cellStyle name="_DEM-WP(C) Costs not in AURORA 2007PCORC-5.07Update_16.37E Wild Horse Expansion DeferralRevwrkingfile SF" xfId="527" xr:uid="{00000000-0005-0000-0000-000005020000}"/>
    <cellStyle name="_DEM-WP(C) Costs not in AURORA 2007PCORC-5.07Update_2009 GRC Compl Filing - Exhibit D" xfId="528" xr:uid="{00000000-0005-0000-0000-000006020000}"/>
    <cellStyle name="_DEM-WP(C) Costs not in AURORA 2007PCORC-5.07Update_Adj Bench DR 3 for Initial Briefs (Electric)" xfId="529" xr:uid="{00000000-0005-0000-0000-000007020000}"/>
    <cellStyle name="_DEM-WP(C) Costs not in AURORA 2007PCORC-5.07Update_Book2" xfId="530" xr:uid="{00000000-0005-0000-0000-000008020000}"/>
    <cellStyle name="_DEM-WP(C) Costs not in AURORA 2007PCORC-5.07Update_Book4" xfId="531" xr:uid="{00000000-0005-0000-0000-000009020000}"/>
    <cellStyle name="_DEM-WP(C) Costs not in AURORA 2007PCORC-5.07Update_DEM-WP(C) Production O&amp;M 2009GRC Rebuttal" xfId="532" xr:uid="{00000000-0005-0000-0000-00000A020000}"/>
    <cellStyle name="_DEM-WP(C) Costs not in AURORA 2007PCORC-5.07Update_DEM-WP(C) Production O&amp;M 2009GRC Rebuttal_Adj Bench DR 3 for Initial Briefs (Electric)" xfId="533" xr:uid="{00000000-0005-0000-0000-00000B020000}"/>
    <cellStyle name="_DEM-WP(C) Costs not in AURORA 2007PCORC-5.07Update_DEM-WP(C) Production O&amp;M 2009GRC Rebuttal_Book2" xfId="534" xr:uid="{00000000-0005-0000-0000-00000C020000}"/>
    <cellStyle name="_DEM-WP(C) Costs not in AURORA 2007PCORC-5.07Update_DEM-WP(C) Production O&amp;M 2009GRC Rebuttal_Book2_Adj Bench DR 3 for Initial Briefs (Electric)" xfId="535" xr:uid="{00000000-0005-0000-0000-00000D020000}"/>
    <cellStyle name="_DEM-WP(C) Costs not in AURORA 2007PCORC-5.07Update_DEM-WP(C) Production O&amp;M 2009GRC Rebuttal_Book2_Electric Rev Req Model (2009 GRC) Rebuttal REmoval of New  WH Solar AdjustMI" xfId="536" xr:uid="{00000000-0005-0000-0000-00000E020000}"/>
    <cellStyle name="_DEM-WP(C) Costs not in AURORA 2007PCORC-5.07Update_DEM-WP(C) Production O&amp;M 2009GRC Rebuttal_Book2_Electric Rev Req Model (2009 GRC) Revised 01-18-2010" xfId="537" xr:uid="{00000000-0005-0000-0000-00000F020000}"/>
    <cellStyle name="_DEM-WP(C) Costs not in AURORA 2007PCORC-5.07Update_DEM-WP(C) Production O&amp;M 2009GRC Rebuttal_Electric Rev Req Model (2009 GRC) Rebuttal REmoval of New  WH Solar AdjustMI" xfId="538" xr:uid="{00000000-0005-0000-0000-000010020000}"/>
    <cellStyle name="_DEM-WP(C) Costs not in AURORA 2007PCORC-5.07Update_DEM-WP(C) Production O&amp;M 2009GRC Rebuttal_Electric Rev Req Model (2009 GRC) Revised 01-18-2010" xfId="539" xr:uid="{00000000-0005-0000-0000-000011020000}"/>
    <cellStyle name="_DEM-WP(C) Costs not in AURORA 2007PCORC-5.07Update_DEM-WP(C) Production O&amp;M 2009GRC Rebuttal_Rebuttal Power Costs" xfId="540" xr:uid="{00000000-0005-0000-0000-000012020000}"/>
    <cellStyle name="_DEM-WP(C) Costs not in AURORA 2007PCORC-5.07Update_DEM-WP(C) Production O&amp;M 2009GRC Rebuttal_Rebuttal Power Costs_Adj Bench DR 3 for Initial Briefs (Electric)" xfId="541" xr:uid="{00000000-0005-0000-0000-000013020000}"/>
    <cellStyle name="_DEM-WP(C) Costs not in AURORA 2007PCORC-5.07Update_DEM-WP(C) Production O&amp;M 2009GRC Rebuttal_Rebuttal Power Costs_Electric Rev Req Model (2009 GRC) Rebuttal REmoval of New  WH Solar AdjustMI" xfId="542" xr:uid="{00000000-0005-0000-0000-000014020000}"/>
    <cellStyle name="_DEM-WP(C) Costs not in AURORA 2007PCORC-5.07Update_DEM-WP(C) Production O&amp;M 2009GRC Rebuttal_Rebuttal Power Costs_Electric Rev Req Model (2009 GRC) Revised 01-18-2010" xfId="543" xr:uid="{00000000-0005-0000-0000-000015020000}"/>
    <cellStyle name="_DEM-WP(C) Costs not in AURORA 2007PCORC-5.07Update_Electric Rev Req Model (2009 GRC) " xfId="544" xr:uid="{00000000-0005-0000-0000-000016020000}"/>
    <cellStyle name="_DEM-WP(C) Costs not in AURORA 2007PCORC-5.07Update_Electric Rev Req Model (2009 GRC) Rebuttal REmoval of New  WH Solar AdjustMI" xfId="545" xr:uid="{00000000-0005-0000-0000-000017020000}"/>
    <cellStyle name="_DEM-WP(C) Costs not in AURORA 2007PCORC-5.07Update_Electric Rev Req Model (2009 GRC) Revised 01-18-2010" xfId="546" xr:uid="{00000000-0005-0000-0000-000018020000}"/>
    <cellStyle name="_DEM-WP(C) Costs not in AURORA 2007PCORC-5.07Update_NIM Summary" xfId="547" xr:uid="{00000000-0005-0000-0000-000019020000}"/>
    <cellStyle name="_DEM-WP(C) Costs not in AURORA 2007PCORC-5.07Update_NIM Summary 09GRC" xfId="548" xr:uid="{00000000-0005-0000-0000-00001A020000}"/>
    <cellStyle name="_DEM-WP(C) Costs not in AURORA 2007PCORC-5.07Update_NIM Summary 09GRC_NIM Summary" xfId="549" xr:uid="{00000000-0005-0000-0000-00001B020000}"/>
    <cellStyle name="_DEM-WP(C) Costs not in AURORA 2007PCORC-5.07Update_Power Costs - Comparison bx Rbtl-Staff-Jt-PC" xfId="550" xr:uid="{00000000-0005-0000-0000-00001C020000}"/>
    <cellStyle name="_DEM-WP(C) Costs not in AURORA 2007PCORC-5.07Update_Rebuttal Power Costs" xfId="551" xr:uid="{00000000-0005-0000-0000-00001D020000}"/>
    <cellStyle name="_DEM-WP(C) Prod O&amp;M 2007GRC" xfId="552" xr:uid="{00000000-0005-0000-0000-00001E020000}"/>
    <cellStyle name="_DEM-WP(C) Prod O&amp;M 2007GRC_Adj Bench DR 3 for Initial Briefs (Electric)" xfId="553" xr:uid="{00000000-0005-0000-0000-00001F020000}"/>
    <cellStyle name="_DEM-WP(C) Prod O&amp;M 2007GRC_Book2" xfId="554" xr:uid="{00000000-0005-0000-0000-000020020000}"/>
    <cellStyle name="_DEM-WP(C) Prod O&amp;M 2007GRC_Book2_Adj Bench DR 3 for Initial Briefs (Electric)" xfId="555" xr:uid="{00000000-0005-0000-0000-000021020000}"/>
    <cellStyle name="_DEM-WP(C) Prod O&amp;M 2007GRC_Book2_Electric Rev Req Model (2009 GRC) Rebuttal REmoval of New  WH Solar AdjustMI" xfId="556" xr:uid="{00000000-0005-0000-0000-000022020000}"/>
    <cellStyle name="_DEM-WP(C) Prod O&amp;M 2007GRC_Book2_Electric Rev Req Model (2009 GRC) Revised 01-18-2010" xfId="557" xr:uid="{00000000-0005-0000-0000-000023020000}"/>
    <cellStyle name="_DEM-WP(C) Prod O&amp;M 2007GRC_Electric Rev Req Model (2009 GRC) Rebuttal REmoval of New  WH Solar AdjustMI" xfId="558" xr:uid="{00000000-0005-0000-0000-000024020000}"/>
    <cellStyle name="_DEM-WP(C) Prod O&amp;M 2007GRC_Electric Rev Req Model (2009 GRC) Revised 01-18-2010" xfId="559" xr:uid="{00000000-0005-0000-0000-000025020000}"/>
    <cellStyle name="_DEM-WP(C) Prod O&amp;M 2007GRC_Rebuttal Power Costs" xfId="560" xr:uid="{00000000-0005-0000-0000-000026020000}"/>
    <cellStyle name="_DEM-WP(C) Prod O&amp;M 2007GRC_Rebuttal Power Costs_Adj Bench DR 3 for Initial Briefs (Electric)" xfId="561" xr:uid="{00000000-0005-0000-0000-000027020000}"/>
    <cellStyle name="_DEM-WP(C) Prod O&amp;M 2007GRC_Rebuttal Power Costs_Electric Rev Req Model (2009 GRC) Rebuttal REmoval of New  WH Solar AdjustMI" xfId="562" xr:uid="{00000000-0005-0000-0000-000028020000}"/>
    <cellStyle name="_DEM-WP(C) Prod O&amp;M 2007GRC_Rebuttal Power Costs_Electric Rev Req Model (2009 GRC) Revised 01-18-2010" xfId="563" xr:uid="{00000000-0005-0000-0000-000029020000}"/>
    <cellStyle name="_DEM-WP(C) Rate Year Sumas by Month Update Corrected" xfId="564" xr:uid="{00000000-0005-0000-0000-00002A020000}"/>
    <cellStyle name="_DEM-WP(C) Sumas Proforma 11.5.07" xfId="565" xr:uid="{00000000-0005-0000-0000-00002B020000}"/>
    <cellStyle name="_DEM-WP(C) Westside Hydro Data_051007" xfId="566" xr:uid="{00000000-0005-0000-0000-00002C020000}"/>
    <cellStyle name="_DEM-WP(C) Westside Hydro Data_051007_16.37E Wild Horse Expansion DeferralRevwrkingfile SF" xfId="567" xr:uid="{00000000-0005-0000-0000-00002D020000}"/>
    <cellStyle name="_DEM-WP(C) Westside Hydro Data_051007_2009 GRC Compl Filing - Exhibit D" xfId="568" xr:uid="{00000000-0005-0000-0000-00002E020000}"/>
    <cellStyle name="_DEM-WP(C) Westside Hydro Data_051007_Adj Bench DR 3 for Initial Briefs (Electric)" xfId="569" xr:uid="{00000000-0005-0000-0000-00002F020000}"/>
    <cellStyle name="_DEM-WP(C) Westside Hydro Data_051007_Book2" xfId="570" xr:uid="{00000000-0005-0000-0000-000030020000}"/>
    <cellStyle name="_DEM-WP(C) Westside Hydro Data_051007_Book4" xfId="571" xr:uid="{00000000-0005-0000-0000-000031020000}"/>
    <cellStyle name="_DEM-WP(C) Westside Hydro Data_051007_Electric Rev Req Model (2009 GRC) " xfId="572" xr:uid="{00000000-0005-0000-0000-000032020000}"/>
    <cellStyle name="_DEM-WP(C) Westside Hydro Data_051007_Electric Rev Req Model (2009 GRC) Rebuttal REmoval of New  WH Solar AdjustMI" xfId="573" xr:uid="{00000000-0005-0000-0000-000033020000}"/>
    <cellStyle name="_DEM-WP(C) Westside Hydro Data_051007_Electric Rev Req Model (2009 GRC) Revised 01-18-2010" xfId="574" xr:uid="{00000000-0005-0000-0000-000034020000}"/>
    <cellStyle name="_DEM-WP(C) Westside Hydro Data_051007_NIM Summary" xfId="575" xr:uid="{00000000-0005-0000-0000-000035020000}"/>
    <cellStyle name="_DEM-WP(C) Westside Hydro Data_051007_Power Costs - Comparison bx Rbtl-Staff-Jt-PC" xfId="576" xr:uid="{00000000-0005-0000-0000-000036020000}"/>
    <cellStyle name="_DEM-WP(C) Westside Hydro Data_051007_Rebuttal Power Costs" xfId="577" xr:uid="{00000000-0005-0000-0000-000037020000}"/>
    <cellStyle name="_Elec Peak Capacity Need_2008-2029_032709_Wind 5% Cap" xfId="578" xr:uid="{00000000-0005-0000-0000-000038020000}"/>
    <cellStyle name="_Elec Peak Capacity Need_2008-2029_032709_Wind 5% Cap_NIM Summary" xfId="579" xr:uid="{00000000-0005-0000-0000-000039020000}"/>
    <cellStyle name="_Elec Peak Capacity Need_2008-2029_032709_Wind 5% Cap-ST-Adj-PJP1" xfId="580" xr:uid="{00000000-0005-0000-0000-00003A020000}"/>
    <cellStyle name="_Elec Peak Capacity Need_2008-2029_032709_Wind 5% Cap-ST-Adj-PJP1_NIM Summary" xfId="581" xr:uid="{00000000-0005-0000-0000-00003B020000}"/>
    <cellStyle name="_Elec Peak Capacity Need_2008-2029_120908_Wind 5% Cap_Low" xfId="582" xr:uid="{00000000-0005-0000-0000-00003C020000}"/>
    <cellStyle name="_Elec Peak Capacity Need_2008-2029_120908_Wind 5% Cap_Low_NIM Summary" xfId="583" xr:uid="{00000000-0005-0000-0000-00003D020000}"/>
    <cellStyle name="_Elec Peak Capacity Need_2008-2029_Wind 5% Cap_050809" xfId="584" xr:uid="{00000000-0005-0000-0000-00003E020000}"/>
    <cellStyle name="_Elec Peak Capacity Need_2008-2029_Wind 5% Cap_050809_NIM Summary" xfId="585" xr:uid="{00000000-0005-0000-0000-00003F020000}"/>
    <cellStyle name="_x0013__Electric Rev Req Model (2009 GRC) " xfId="586" xr:uid="{00000000-0005-0000-0000-000040020000}"/>
    <cellStyle name="_x0013__Electric Rev Req Model (2009 GRC) Rebuttal REmoval of New  WH Solar AdjustMI" xfId="587" xr:uid="{00000000-0005-0000-0000-000041020000}"/>
    <cellStyle name="_x0013__Electric Rev Req Model (2009 GRC) Revised 01-18-2010" xfId="588" xr:uid="{00000000-0005-0000-0000-000042020000}"/>
    <cellStyle name="_ENCOGEN_WBOOK" xfId="589" xr:uid="{00000000-0005-0000-0000-000043020000}"/>
    <cellStyle name="_ENCOGEN_WBOOK_NIM Summary" xfId="590" xr:uid="{00000000-0005-0000-0000-000044020000}"/>
    <cellStyle name="_Fixed Gas Transport 1 19 09" xfId="591" xr:uid="{00000000-0005-0000-0000-000045020000}"/>
    <cellStyle name="_Fuel Prices 4-14" xfId="592" xr:uid="{00000000-0005-0000-0000-000046020000}"/>
    <cellStyle name="_Fuel Prices 4-14_04 07E Wild Horse Wind Expansion (C) (2)" xfId="593" xr:uid="{00000000-0005-0000-0000-000047020000}"/>
    <cellStyle name="_Fuel Prices 4-14_04 07E Wild Horse Wind Expansion (C) (2)_Adj Bench DR 3 for Initial Briefs (Electric)" xfId="594" xr:uid="{00000000-0005-0000-0000-000048020000}"/>
    <cellStyle name="_Fuel Prices 4-14_04 07E Wild Horse Wind Expansion (C) (2)_Electric Rev Req Model (2009 GRC) " xfId="595" xr:uid="{00000000-0005-0000-0000-000049020000}"/>
    <cellStyle name="_Fuel Prices 4-14_04 07E Wild Horse Wind Expansion (C) (2)_Electric Rev Req Model (2009 GRC) Rebuttal REmoval of New  WH Solar AdjustMI" xfId="596" xr:uid="{00000000-0005-0000-0000-00004A020000}"/>
    <cellStyle name="_Fuel Prices 4-14_04 07E Wild Horse Wind Expansion (C) (2)_Electric Rev Req Model (2009 GRC) Revised 01-18-2010" xfId="597" xr:uid="{00000000-0005-0000-0000-00004B020000}"/>
    <cellStyle name="_Fuel Prices 4-14_16.37E Wild Horse Expansion DeferralRevwrkingfile SF" xfId="598" xr:uid="{00000000-0005-0000-0000-00004C020000}"/>
    <cellStyle name="_Fuel Prices 4-14_2009 GRC Compl Filing - Exhibit D" xfId="599" xr:uid="{00000000-0005-0000-0000-00004D020000}"/>
    <cellStyle name="_Fuel Prices 4-14_4 31 Regulatory Assets and Liabilities  7 06- Exhibit D" xfId="600" xr:uid="{00000000-0005-0000-0000-00004E020000}"/>
    <cellStyle name="_Fuel Prices 4-14_4 31 Regulatory Assets and Liabilities  7 06- Exhibit D_NIM Summary" xfId="601" xr:uid="{00000000-0005-0000-0000-00004F020000}"/>
    <cellStyle name="_Fuel Prices 4-14_4 32 Regulatory Assets and Liabilities  7 06- Exhibit D" xfId="602" xr:uid="{00000000-0005-0000-0000-000050020000}"/>
    <cellStyle name="_Fuel Prices 4-14_4 32 Regulatory Assets and Liabilities  7 06- Exhibit D_NIM Summary" xfId="603" xr:uid="{00000000-0005-0000-0000-000051020000}"/>
    <cellStyle name="_Fuel Prices 4-14_Book2" xfId="604" xr:uid="{00000000-0005-0000-0000-000052020000}"/>
    <cellStyle name="_Fuel Prices 4-14_Book2_Adj Bench DR 3 for Initial Briefs (Electric)" xfId="605" xr:uid="{00000000-0005-0000-0000-000053020000}"/>
    <cellStyle name="_Fuel Prices 4-14_Book2_Electric Rev Req Model (2009 GRC) Rebuttal REmoval of New  WH Solar AdjustMI" xfId="606" xr:uid="{00000000-0005-0000-0000-000054020000}"/>
    <cellStyle name="_Fuel Prices 4-14_Book2_Electric Rev Req Model (2009 GRC) Revised 01-18-2010" xfId="607" xr:uid="{00000000-0005-0000-0000-000055020000}"/>
    <cellStyle name="_Fuel Prices 4-14_Book4" xfId="608" xr:uid="{00000000-0005-0000-0000-000056020000}"/>
    <cellStyle name="_Fuel Prices 4-14_Book9" xfId="609" xr:uid="{00000000-0005-0000-0000-000057020000}"/>
    <cellStyle name="_Fuel Prices 4-14_NIM Summary" xfId="610" xr:uid="{00000000-0005-0000-0000-000058020000}"/>
    <cellStyle name="_Fuel Prices 4-14_NIM Summary 09GRC" xfId="611" xr:uid="{00000000-0005-0000-0000-000059020000}"/>
    <cellStyle name="_Fuel Prices 4-14_PCA 9 -  Exhibit D April 2010 (3)" xfId="612" xr:uid="{00000000-0005-0000-0000-00005A020000}"/>
    <cellStyle name="_Fuel Prices 4-14_Power Costs - Comparison bx Rbtl-Staff-Jt-PC" xfId="613" xr:uid="{00000000-0005-0000-0000-00005B020000}"/>
    <cellStyle name="_Fuel Prices 4-14_Power Costs - Comparison bx Rbtl-Staff-Jt-PC_Adj Bench DR 3 for Initial Briefs (Electric)" xfId="614" xr:uid="{00000000-0005-0000-0000-00005C020000}"/>
    <cellStyle name="_Fuel Prices 4-14_Power Costs - Comparison bx Rbtl-Staff-Jt-PC_Electric Rev Req Model (2009 GRC) Rebuttal REmoval of New  WH Solar AdjustMI" xfId="615" xr:uid="{00000000-0005-0000-0000-00005D020000}"/>
    <cellStyle name="_Fuel Prices 4-14_Power Costs - Comparison bx Rbtl-Staff-Jt-PC_Electric Rev Req Model (2009 GRC) Revised 01-18-2010" xfId="616" xr:uid="{00000000-0005-0000-0000-00005E020000}"/>
    <cellStyle name="_Fuel Prices 4-14_Rebuttal Power Costs" xfId="617" xr:uid="{00000000-0005-0000-0000-00005F020000}"/>
    <cellStyle name="_Fuel Prices 4-14_Rebuttal Power Costs_Adj Bench DR 3 for Initial Briefs (Electric)" xfId="618" xr:uid="{00000000-0005-0000-0000-000060020000}"/>
    <cellStyle name="_Fuel Prices 4-14_Rebuttal Power Costs_Electric Rev Req Model (2009 GRC) Rebuttal REmoval of New  WH Solar AdjustMI" xfId="619" xr:uid="{00000000-0005-0000-0000-000061020000}"/>
    <cellStyle name="_Fuel Prices 4-14_Rebuttal Power Costs_Electric Rev Req Model (2009 GRC) Revised 01-18-2010" xfId="620" xr:uid="{00000000-0005-0000-0000-000062020000}"/>
    <cellStyle name="_Fuel Prices 4-14_Wind Integration 10GRC" xfId="621" xr:uid="{00000000-0005-0000-0000-000063020000}"/>
    <cellStyle name="_Gas Transportation Charges_2009GRC_120308" xfId="622" xr:uid="{00000000-0005-0000-0000-000064020000}"/>
    <cellStyle name="_Gas Transportation Charges_2009GRC_120308_DEM-WP(C) Costs Not In AURORA 2010GRC As Filed" xfId="623" xr:uid="{00000000-0005-0000-0000-000065020000}"/>
    <cellStyle name="_Gas Transportation Charges_2009GRC_120308_NIM Summary" xfId="624" xr:uid="{00000000-0005-0000-0000-000066020000}"/>
    <cellStyle name="_Gas Transportation Charges_2009GRC_120308_NIM Summary 09GRC" xfId="625" xr:uid="{00000000-0005-0000-0000-000067020000}"/>
    <cellStyle name="_Gas Transportation Charges_2009GRC_120308_PCA 9 -  Exhibit D April 2010 (3)" xfId="626" xr:uid="{00000000-0005-0000-0000-000068020000}"/>
    <cellStyle name="_Gas Transportation Charges_2009GRC_120308_Reconciliation" xfId="627" xr:uid="{00000000-0005-0000-0000-000069020000}"/>
    <cellStyle name="_Gas Transportation Charges_2009GRC_120308_Wind Integration 10GRC" xfId="628" xr:uid="{00000000-0005-0000-0000-00006A020000}"/>
    <cellStyle name="_Monthly Fixed Input" xfId="629" xr:uid="{00000000-0005-0000-0000-00006B020000}"/>
    <cellStyle name="_Monthly Fixed Input_NIM Summary" xfId="630" xr:uid="{00000000-0005-0000-0000-00006C020000}"/>
    <cellStyle name="_NIM 06 Base Case Current Trends" xfId="631" xr:uid="{00000000-0005-0000-0000-00006D020000}"/>
    <cellStyle name="_NIM 06 Base Case Current Trends_Adj Bench DR 3 for Initial Briefs (Electric)" xfId="632" xr:uid="{00000000-0005-0000-0000-00006E020000}"/>
    <cellStyle name="_NIM 06 Base Case Current Trends_Book2" xfId="633" xr:uid="{00000000-0005-0000-0000-00006F020000}"/>
    <cellStyle name="_NIM 06 Base Case Current Trends_Book2_Adj Bench DR 3 for Initial Briefs (Electric)" xfId="634" xr:uid="{00000000-0005-0000-0000-000070020000}"/>
    <cellStyle name="_NIM 06 Base Case Current Trends_Book2_Electric Rev Req Model (2009 GRC) Rebuttal REmoval of New  WH Solar AdjustMI" xfId="635" xr:uid="{00000000-0005-0000-0000-000071020000}"/>
    <cellStyle name="_NIM 06 Base Case Current Trends_Book2_Electric Rev Req Model (2009 GRC) Revised 01-18-2010" xfId="636" xr:uid="{00000000-0005-0000-0000-000072020000}"/>
    <cellStyle name="_NIM 06 Base Case Current Trends_Electric Rev Req Model (2009 GRC) " xfId="637" xr:uid="{00000000-0005-0000-0000-000073020000}"/>
    <cellStyle name="_NIM 06 Base Case Current Trends_Electric Rev Req Model (2009 GRC) Rebuttal REmoval of New  WH Solar AdjustMI" xfId="638" xr:uid="{00000000-0005-0000-0000-000074020000}"/>
    <cellStyle name="_NIM 06 Base Case Current Trends_Electric Rev Req Model (2009 GRC) Revised 01-18-2010" xfId="639" xr:uid="{00000000-0005-0000-0000-000075020000}"/>
    <cellStyle name="_NIM 06 Base Case Current Trends_NIM Summary" xfId="640" xr:uid="{00000000-0005-0000-0000-000076020000}"/>
    <cellStyle name="_NIM 06 Base Case Current Trends_Rebuttal Power Costs" xfId="641" xr:uid="{00000000-0005-0000-0000-000077020000}"/>
    <cellStyle name="_NIM 06 Base Case Current Trends_Rebuttal Power Costs_Adj Bench DR 3 for Initial Briefs (Electric)" xfId="642" xr:uid="{00000000-0005-0000-0000-000078020000}"/>
    <cellStyle name="_NIM 06 Base Case Current Trends_Rebuttal Power Costs_Electric Rev Req Model (2009 GRC) Rebuttal REmoval of New  WH Solar AdjustMI" xfId="643" xr:uid="{00000000-0005-0000-0000-000079020000}"/>
    <cellStyle name="_NIM 06 Base Case Current Trends_Rebuttal Power Costs_Electric Rev Req Model (2009 GRC) Revised 01-18-2010" xfId="644" xr:uid="{00000000-0005-0000-0000-00007A020000}"/>
    <cellStyle name="_NIM Summary 09GRC" xfId="645" xr:uid="{00000000-0005-0000-0000-00007B020000}"/>
    <cellStyle name="_NIM Summary 09GRC_NIM Summary" xfId="646" xr:uid="{00000000-0005-0000-0000-00007C020000}"/>
    <cellStyle name="_PCA 7 - Exhibit D update 9_30_2008" xfId="647" xr:uid="{00000000-0005-0000-0000-00007D020000}"/>
    <cellStyle name="_PCA 7 - Exhibit D update 9_30_2008_NIM Summary" xfId="648" xr:uid="{00000000-0005-0000-0000-00007E020000}"/>
    <cellStyle name="_PCA 7 - Exhibit D update 9_30_2008_Transmission Workbook for May BOD" xfId="649" xr:uid="{00000000-0005-0000-0000-00007F020000}"/>
    <cellStyle name="_PCA 7 - Exhibit D update 9_30_2008_Wind Integration 10GRC" xfId="650" xr:uid="{00000000-0005-0000-0000-000080020000}"/>
    <cellStyle name="_Portfolio SPlan Base Case.xls Chart 1" xfId="651" xr:uid="{00000000-0005-0000-0000-000081020000}"/>
    <cellStyle name="_Portfolio SPlan Base Case.xls Chart 1_Adj Bench DR 3 for Initial Briefs (Electric)" xfId="652" xr:uid="{00000000-0005-0000-0000-000082020000}"/>
    <cellStyle name="_Portfolio SPlan Base Case.xls Chart 1_Book2" xfId="653" xr:uid="{00000000-0005-0000-0000-000083020000}"/>
    <cellStyle name="_Portfolio SPlan Base Case.xls Chart 1_Book2_Adj Bench DR 3 for Initial Briefs (Electric)" xfId="654" xr:uid="{00000000-0005-0000-0000-000084020000}"/>
    <cellStyle name="_Portfolio SPlan Base Case.xls Chart 1_Book2_Electric Rev Req Model (2009 GRC) Rebuttal REmoval of New  WH Solar AdjustMI" xfId="655" xr:uid="{00000000-0005-0000-0000-000085020000}"/>
    <cellStyle name="_Portfolio SPlan Base Case.xls Chart 1_Book2_Electric Rev Req Model (2009 GRC) Revised 01-18-2010" xfId="656" xr:uid="{00000000-0005-0000-0000-000086020000}"/>
    <cellStyle name="_Portfolio SPlan Base Case.xls Chart 1_Electric Rev Req Model (2009 GRC) " xfId="657" xr:uid="{00000000-0005-0000-0000-000087020000}"/>
    <cellStyle name="_Portfolio SPlan Base Case.xls Chart 1_Electric Rev Req Model (2009 GRC) Rebuttal REmoval of New  WH Solar AdjustMI" xfId="658" xr:uid="{00000000-0005-0000-0000-000088020000}"/>
    <cellStyle name="_Portfolio SPlan Base Case.xls Chart 1_Electric Rev Req Model (2009 GRC) Revised 01-18-2010" xfId="659" xr:uid="{00000000-0005-0000-0000-000089020000}"/>
    <cellStyle name="_Portfolio SPlan Base Case.xls Chart 1_NIM Summary" xfId="660" xr:uid="{00000000-0005-0000-0000-00008A020000}"/>
    <cellStyle name="_Portfolio SPlan Base Case.xls Chart 1_Rebuttal Power Costs" xfId="661" xr:uid="{00000000-0005-0000-0000-00008B020000}"/>
    <cellStyle name="_Portfolio SPlan Base Case.xls Chart 1_Rebuttal Power Costs_Adj Bench DR 3 for Initial Briefs (Electric)" xfId="662" xr:uid="{00000000-0005-0000-0000-00008C020000}"/>
    <cellStyle name="_Portfolio SPlan Base Case.xls Chart 1_Rebuttal Power Costs_Electric Rev Req Model (2009 GRC) Rebuttal REmoval of New  WH Solar AdjustMI" xfId="663" xr:uid="{00000000-0005-0000-0000-00008D020000}"/>
    <cellStyle name="_Portfolio SPlan Base Case.xls Chart 1_Rebuttal Power Costs_Electric Rev Req Model (2009 GRC) Revised 01-18-2010" xfId="664" xr:uid="{00000000-0005-0000-0000-00008E020000}"/>
    <cellStyle name="_Portfolio SPlan Base Case.xls Chart 2" xfId="665" xr:uid="{00000000-0005-0000-0000-00008F020000}"/>
    <cellStyle name="_Portfolio SPlan Base Case.xls Chart 2_Adj Bench DR 3 for Initial Briefs (Electric)" xfId="666" xr:uid="{00000000-0005-0000-0000-000090020000}"/>
    <cellStyle name="_Portfolio SPlan Base Case.xls Chart 2_Book2" xfId="667" xr:uid="{00000000-0005-0000-0000-000091020000}"/>
    <cellStyle name="_Portfolio SPlan Base Case.xls Chart 2_Book2_Adj Bench DR 3 for Initial Briefs (Electric)" xfId="668" xr:uid="{00000000-0005-0000-0000-000092020000}"/>
    <cellStyle name="_Portfolio SPlan Base Case.xls Chart 2_Book2_Electric Rev Req Model (2009 GRC) Rebuttal REmoval of New  WH Solar AdjustMI" xfId="669" xr:uid="{00000000-0005-0000-0000-000093020000}"/>
    <cellStyle name="_Portfolio SPlan Base Case.xls Chart 2_Book2_Electric Rev Req Model (2009 GRC) Revised 01-18-2010" xfId="670" xr:uid="{00000000-0005-0000-0000-000094020000}"/>
    <cellStyle name="_Portfolio SPlan Base Case.xls Chart 2_Electric Rev Req Model (2009 GRC) " xfId="671" xr:uid="{00000000-0005-0000-0000-000095020000}"/>
    <cellStyle name="_Portfolio SPlan Base Case.xls Chart 2_Electric Rev Req Model (2009 GRC) Rebuttal REmoval of New  WH Solar AdjustMI" xfId="672" xr:uid="{00000000-0005-0000-0000-000096020000}"/>
    <cellStyle name="_Portfolio SPlan Base Case.xls Chart 2_Electric Rev Req Model (2009 GRC) Revised 01-18-2010" xfId="673" xr:uid="{00000000-0005-0000-0000-000097020000}"/>
    <cellStyle name="_Portfolio SPlan Base Case.xls Chart 2_NIM Summary" xfId="674" xr:uid="{00000000-0005-0000-0000-000098020000}"/>
    <cellStyle name="_Portfolio SPlan Base Case.xls Chart 2_Rebuttal Power Costs" xfId="675" xr:uid="{00000000-0005-0000-0000-000099020000}"/>
    <cellStyle name="_Portfolio SPlan Base Case.xls Chart 2_Rebuttal Power Costs_Adj Bench DR 3 for Initial Briefs (Electric)" xfId="676" xr:uid="{00000000-0005-0000-0000-00009A020000}"/>
    <cellStyle name="_Portfolio SPlan Base Case.xls Chart 2_Rebuttal Power Costs_Electric Rev Req Model (2009 GRC) Rebuttal REmoval of New  WH Solar AdjustMI" xfId="677" xr:uid="{00000000-0005-0000-0000-00009B020000}"/>
    <cellStyle name="_Portfolio SPlan Base Case.xls Chart 2_Rebuttal Power Costs_Electric Rev Req Model (2009 GRC) Revised 01-18-2010" xfId="678" xr:uid="{00000000-0005-0000-0000-00009C020000}"/>
    <cellStyle name="_Portfolio SPlan Base Case.xls Chart 3" xfId="679" xr:uid="{00000000-0005-0000-0000-00009D020000}"/>
    <cellStyle name="_Portfolio SPlan Base Case.xls Chart 3_Adj Bench DR 3 for Initial Briefs (Electric)" xfId="680" xr:uid="{00000000-0005-0000-0000-00009E020000}"/>
    <cellStyle name="_Portfolio SPlan Base Case.xls Chart 3_Book2" xfId="681" xr:uid="{00000000-0005-0000-0000-00009F020000}"/>
    <cellStyle name="_Portfolio SPlan Base Case.xls Chart 3_Book2_Adj Bench DR 3 for Initial Briefs (Electric)" xfId="682" xr:uid="{00000000-0005-0000-0000-0000A0020000}"/>
    <cellStyle name="_Portfolio SPlan Base Case.xls Chart 3_Book2_Electric Rev Req Model (2009 GRC) Rebuttal REmoval of New  WH Solar AdjustMI" xfId="683" xr:uid="{00000000-0005-0000-0000-0000A1020000}"/>
    <cellStyle name="_Portfolio SPlan Base Case.xls Chart 3_Book2_Electric Rev Req Model (2009 GRC) Revised 01-18-2010" xfId="684" xr:uid="{00000000-0005-0000-0000-0000A2020000}"/>
    <cellStyle name="_Portfolio SPlan Base Case.xls Chart 3_Electric Rev Req Model (2009 GRC) " xfId="685" xr:uid="{00000000-0005-0000-0000-0000A3020000}"/>
    <cellStyle name="_Portfolio SPlan Base Case.xls Chart 3_Electric Rev Req Model (2009 GRC) Rebuttal REmoval of New  WH Solar AdjustMI" xfId="686" xr:uid="{00000000-0005-0000-0000-0000A4020000}"/>
    <cellStyle name="_Portfolio SPlan Base Case.xls Chart 3_Electric Rev Req Model (2009 GRC) Revised 01-18-2010" xfId="687" xr:uid="{00000000-0005-0000-0000-0000A5020000}"/>
    <cellStyle name="_Portfolio SPlan Base Case.xls Chart 3_NIM Summary" xfId="688" xr:uid="{00000000-0005-0000-0000-0000A6020000}"/>
    <cellStyle name="_Portfolio SPlan Base Case.xls Chart 3_Rebuttal Power Costs" xfId="689" xr:uid="{00000000-0005-0000-0000-0000A7020000}"/>
    <cellStyle name="_Portfolio SPlan Base Case.xls Chart 3_Rebuttal Power Costs_Adj Bench DR 3 for Initial Briefs (Electric)" xfId="690" xr:uid="{00000000-0005-0000-0000-0000A8020000}"/>
    <cellStyle name="_Portfolio SPlan Base Case.xls Chart 3_Rebuttal Power Costs_Electric Rev Req Model (2009 GRC) Rebuttal REmoval of New  WH Solar AdjustMI" xfId="691" xr:uid="{00000000-0005-0000-0000-0000A9020000}"/>
    <cellStyle name="_Portfolio SPlan Base Case.xls Chart 3_Rebuttal Power Costs_Electric Rev Req Model (2009 GRC) Revised 01-18-2010" xfId="692" xr:uid="{00000000-0005-0000-0000-0000AA020000}"/>
    <cellStyle name="_Power Cost Value Copy 11.30.05 gas 1.09.06 AURORA at 1.10.06" xfId="693" xr:uid="{00000000-0005-0000-0000-0000AB020000}"/>
    <cellStyle name="_Power Cost Value Copy 11.30.05 gas 1.09.06 AURORA at 1.10.06_04 07E Wild Horse Wind Expansion (C) (2)" xfId="694" xr:uid="{00000000-0005-0000-0000-0000AC020000}"/>
    <cellStyle name="_Power Cost Value Copy 11.30.05 gas 1.09.06 AURORA at 1.10.06_04 07E Wild Horse Wind Expansion (C) (2)_Adj Bench DR 3 for Initial Briefs (Electric)" xfId="695" xr:uid="{00000000-0005-0000-0000-0000AD020000}"/>
    <cellStyle name="_Power Cost Value Copy 11.30.05 gas 1.09.06 AURORA at 1.10.06_04 07E Wild Horse Wind Expansion (C) (2)_Electric Rev Req Model (2009 GRC) " xfId="696" xr:uid="{00000000-0005-0000-0000-0000AE020000}"/>
    <cellStyle name="_Power Cost Value Copy 11.30.05 gas 1.09.06 AURORA at 1.10.06_04 07E Wild Horse Wind Expansion (C) (2)_Electric Rev Req Model (2009 GRC) Rebuttal REmoval of New  WH Solar AdjustMI" xfId="697" xr:uid="{00000000-0005-0000-0000-0000AF020000}"/>
    <cellStyle name="_Power Cost Value Copy 11.30.05 gas 1.09.06 AURORA at 1.10.06_04 07E Wild Horse Wind Expansion (C) (2)_Electric Rev Req Model (2009 GRC) Revised 01-18-2010" xfId="698" xr:uid="{00000000-0005-0000-0000-0000B0020000}"/>
    <cellStyle name="_Power Cost Value Copy 11.30.05 gas 1.09.06 AURORA at 1.10.06_16.37E Wild Horse Expansion DeferralRevwrkingfile SF" xfId="699" xr:uid="{00000000-0005-0000-0000-0000B1020000}"/>
    <cellStyle name="_Power Cost Value Copy 11.30.05 gas 1.09.06 AURORA at 1.10.06_2009 GRC Compl Filing - Exhibit D" xfId="700" xr:uid="{00000000-0005-0000-0000-0000B2020000}"/>
    <cellStyle name="_Power Cost Value Copy 11.30.05 gas 1.09.06 AURORA at 1.10.06_4 31 Regulatory Assets and Liabilities  7 06- Exhibit D" xfId="701" xr:uid="{00000000-0005-0000-0000-0000B3020000}"/>
    <cellStyle name="_Power Cost Value Copy 11.30.05 gas 1.09.06 AURORA at 1.10.06_4 31 Regulatory Assets and Liabilities  7 06- Exhibit D_NIM Summary" xfId="702" xr:uid="{00000000-0005-0000-0000-0000B4020000}"/>
    <cellStyle name="_Power Cost Value Copy 11.30.05 gas 1.09.06 AURORA at 1.10.06_4 32 Regulatory Assets and Liabilities  7 06- Exhibit D" xfId="703" xr:uid="{00000000-0005-0000-0000-0000B5020000}"/>
    <cellStyle name="_Power Cost Value Copy 11.30.05 gas 1.09.06 AURORA at 1.10.06_4 32 Regulatory Assets and Liabilities  7 06- Exhibit D_NIM Summary" xfId="704" xr:uid="{00000000-0005-0000-0000-0000B6020000}"/>
    <cellStyle name="_Power Cost Value Copy 11.30.05 gas 1.09.06 AURORA at 1.10.06_Book2" xfId="705" xr:uid="{00000000-0005-0000-0000-0000B7020000}"/>
    <cellStyle name="_Power Cost Value Copy 11.30.05 gas 1.09.06 AURORA at 1.10.06_Book2_Adj Bench DR 3 for Initial Briefs (Electric)" xfId="706" xr:uid="{00000000-0005-0000-0000-0000B8020000}"/>
    <cellStyle name="_Power Cost Value Copy 11.30.05 gas 1.09.06 AURORA at 1.10.06_Book2_Electric Rev Req Model (2009 GRC) Rebuttal REmoval of New  WH Solar AdjustMI" xfId="707" xr:uid="{00000000-0005-0000-0000-0000B9020000}"/>
    <cellStyle name="_Power Cost Value Copy 11.30.05 gas 1.09.06 AURORA at 1.10.06_Book2_Electric Rev Req Model (2009 GRC) Revised 01-18-2010" xfId="708" xr:uid="{00000000-0005-0000-0000-0000BA020000}"/>
    <cellStyle name="_Power Cost Value Copy 11.30.05 gas 1.09.06 AURORA at 1.10.06_Book4" xfId="709" xr:uid="{00000000-0005-0000-0000-0000BB020000}"/>
    <cellStyle name="_Power Cost Value Copy 11.30.05 gas 1.09.06 AURORA at 1.10.06_Book9" xfId="710" xr:uid="{00000000-0005-0000-0000-0000BC020000}"/>
    <cellStyle name="_Power Cost Value Copy 11.30.05 gas 1.09.06 AURORA at 1.10.06_Exhibit D fr R Gho 12-31-08" xfId="711" xr:uid="{00000000-0005-0000-0000-0000BD020000}"/>
    <cellStyle name="_Power Cost Value Copy 11.30.05 gas 1.09.06 AURORA at 1.10.06_Exhibit D fr R Gho 12-31-08 v2" xfId="712" xr:uid="{00000000-0005-0000-0000-0000BE020000}"/>
    <cellStyle name="_Power Cost Value Copy 11.30.05 gas 1.09.06 AURORA at 1.10.06_Exhibit D fr R Gho 12-31-08 v2_NIM Summary" xfId="713" xr:uid="{00000000-0005-0000-0000-0000BF020000}"/>
    <cellStyle name="_Power Cost Value Copy 11.30.05 gas 1.09.06 AURORA at 1.10.06_Exhibit D fr R Gho 12-31-08_NIM Summary" xfId="714" xr:uid="{00000000-0005-0000-0000-0000C0020000}"/>
    <cellStyle name="_Power Cost Value Copy 11.30.05 gas 1.09.06 AURORA at 1.10.06_Hopkins Ridge Prepaid Tran - Interest Earned RY 12ME Feb  '11" xfId="715" xr:uid="{00000000-0005-0000-0000-0000C1020000}"/>
    <cellStyle name="_Power Cost Value Copy 11.30.05 gas 1.09.06 AURORA at 1.10.06_Hopkins Ridge Prepaid Tran - Interest Earned RY 12ME Feb  '11_NIM Summary" xfId="716" xr:uid="{00000000-0005-0000-0000-0000C2020000}"/>
    <cellStyle name="_Power Cost Value Copy 11.30.05 gas 1.09.06 AURORA at 1.10.06_Hopkins Ridge Prepaid Tran - Interest Earned RY 12ME Feb  '11_Transmission Workbook for May BOD" xfId="717" xr:uid="{00000000-0005-0000-0000-0000C3020000}"/>
    <cellStyle name="_Power Cost Value Copy 11.30.05 gas 1.09.06 AURORA at 1.10.06_NIM Summary" xfId="718" xr:uid="{00000000-0005-0000-0000-0000C4020000}"/>
    <cellStyle name="_Power Cost Value Copy 11.30.05 gas 1.09.06 AURORA at 1.10.06_NIM Summary 09GRC" xfId="719" xr:uid="{00000000-0005-0000-0000-0000C5020000}"/>
    <cellStyle name="_Power Cost Value Copy 11.30.05 gas 1.09.06 AURORA at 1.10.06_PCA 7 - Exhibit D update 11_30_08 (2)" xfId="720" xr:uid="{00000000-0005-0000-0000-0000C6020000}"/>
    <cellStyle name="_Power Cost Value Copy 11.30.05 gas 1.09.06 AURORA at 1.10.06_PCA 7 - Exhibit D update 11_30_08 (2)_NIM Summary" xfId="721" xr:uid="{00000000-0005-0000-0000-0000C7020000}"/>
    <cellStyle name="_Power Cost Value Copy 11.30.05 gas 1.09.06 AURORA at 1.10.06_PCA 9 -  Exhibit D April 2010 (3)" xfId="722" xr:uid="{00000000-0005-0000-0000-0000C8020000}"/>
    <cellStyle name="_Power Cost Value Copy 11.30.05 gas 1.09.06 AURORA at 1.10.06_Power Costs - Comparison bx Rbtl-Staff-Jt-PC" xfId="723" xr:uid="{00000000-0005-0000-0000-0000C9020000}"/>
    <cellStyle name="_Power Cost Value Copy 11.30.05 gas 1.09.06 AURORA at 1.10.06_Power Costs - Comparison bx Rbtl-Staff-Jt-PC_Adj Bench DR 3 for Initial Briefs (Electric)" xfId="724" xr:uid="{00000000-0005-0000-0000-0000CA020000}"/>
    <cellStyle name="_Power Cost Value Copy 11.30.05 gas 1.09.06 AURORA at 1.10.06_Power Costs - Comparison bx Rbtl-Staff-Jt-PC_Electric Rev Req Model (2009 GRC) Rebuttal REmoval of New  WH Solar AdjustMI" xfId="725" xr:uid="{00000000-0005-0000-0000-0000CB020000}"/>
    <cellStyle name="_Power Cost Value Copy 11.30.05 gas 1.09.06 AURORA at 1.10.06_Power Costs - Comparison bx Rbtl-Staff-Jt-PC_Electric Rev Req Model (2009 GRC) Revised 01-18-2010" xfId="726" xr:uid="{00000000-0005-0000-0000-0000CC020000}"/>
    <cellStyle name="_Power Cost Value Copy 11.30.05 gas 1.09.06 AURORA at 1.10.06_Rebuttal Power Costs" xfId="727" xr:uid="{00000000-0005-0000-0000-0000CD020000}"/>
    <cellStyle name="_Power Cost Value Copy 11.30.05 gas 1.09.06 AURORA at 1.10.06_Rebuttal Power Costs_Adj Bench DR 3 for Initial Briefs (Electric)" xfId="728" xr:uid="{00000000-0005-0000-0000-0000CE020000}"/>
    <cellStyle name="_Power Cost Value Copy 11.30.05 gas 1.09.06 AURORA at 1.10.06_Rebuttal Power Costs_Electric Rev Req Model (2009 GRC) Rebuttal REmoval of New  WH Solar AdjustMI" xfId="729" xr:uid="{00000000-0005-0000-0000-0000CF020000}"/>
    <cellStyle name="_Power Cost Value Copy 11.30.05 gas 1.09.06 AURORA at 1.10.06_Rebuttal Power Costs_Electric Rev Req Model (2009 GRC) Revised 01-18-2010" xfId="730" xr:uid="{00000000-0005-0000-0000-0000D0020000}"/>
    <cellStyle name="_Power Cost Value Copy 11.30.05 gas 1.09.06 AURORA at 1.10.06_Transmission Workbook for May BOD" xfId="731" xr:uid="{00000000-0005-0000-0000-0000D1020000}"/>
    <cellStyle name="_Power Cost Value Copy 11.30.05 gas 1.09.06 AURORA at 1.10.06_Wind Integration 10GRC" xfId="732" xr:uid="{00000000-0005-0000-0000-0000D2020000}"/>
    <cellStyle name="_Price Output" xfId="733" xr:uid="{00000000-0005-0000-0000-0000D3020000}"/>
    <cellStyle name="_Price Output_NIM Summary" xfId="734" xr:uid="{00000000-0005-0000-0000-0000D4020000}"/>
    <cellStyle name="_Price Output_Wind Integration 10GRC" xfId="735" xr:uid="{00000000-0005-0000-0000-0000D5020000}"/>
    <cellStyle name="_Prices" xfId="736" xr:uid="{00000000-0005-0000-0000-0000D6020000}"/>
    <cellStyle name="_Prices_NIM Summary" xfId="737" xr:uid="{00000000-0005-0000-0000-0000D7020000}"/>
    <cellStyle name="_Prices_Wind Integration 10GRC" xfId="738" xr:uid="{00000000-0005-0000-0000-0000D8020000}"/>
    <cellStyle name="_x0013__Rebuttal Power Costs" xfId="739" xr:uid="{00000000-0005-0000-0000-0000D9020000}"/>
    <cellStyle name="_x0013__Rebuttal Power Costs_Adj Bench DR 3 for Initial Briefs (Electric)" xfId="740" xr:uid="{00000000-0005-0000-0000-0000DA020000}"/>
    <cellStyle name="_x0013__Rebuttal Power Costs_Electric Rev Req Model (2009 GRC) Rebuttal REmoval of New  WH Solar AdjustMI" xfId="741" xr:uid="{00000000-0005-0000-0000-0000DB020000}"/>
    <cellStyle name="_x0013__Rebuttal Power Costs_Electric Rev Req Model (2009 GRC) Revised 01-18-2010" xfId="742" xr:uid="{00000000-0005-0000-0000-0000DC020000}"/>
    <cellStyle name="_recommendation" xfId="743" xr:uid="{00000000-0005-0000-0000-0000DD020000}"/>
    <cellStyle name="_recommendation_DEM-WP(C) Wind Integration Summary 2010GRC" xfId="744" xr:uid="{00000000-0005-0000-0000-0000DE020000}"/>
    <cellStyle name="_recommendation_NIM Summary" xfId="745" xr:uid="{00000000-0005-0000-0000-0000DF020000}"/>
    <cellStyle name="_Recon to Darrin's 5.11.05 proforma" xfId="746" xr:uid="{00000000-0005-0000-0000-0000E0020000}"/>
    <cellStyle name="_Recon to Darrin's 5.11.05 proforma_(C) WHE Proforma with ITC cash grant 10 Yr Amort_for deferral_102809" xfId="747" xr:uid="{00000000-0005-0000-0000-0000E1020000}"/>
    <cellStyle name="_Recon to Darrin's 5.11.05 proforma_(C) WHE Proforma with ITC cash grant 10 Yr Amort_for deferral_102809_16.07E Wild Horse Wind Expansionwrkingfile" xfId="748" xr:uid="{00000000-0005-0000-0000-0000E2020000}"/>
    <cellStyle name="_Recon to Darrin's 5.11.05 proforma_(C) WHE Proforma with ITC cash grant 10 Yr Amort_for deferral_102809_16.07E Wild Horse Wind Expansionwrkingfile SF" xfId="749" xr:uid="{00000000-0005-0000-0000-0000E3020000}"/>
    <cellStyle name="_Recon to Darrin's 5.11.05 proforma_(C) WHE Proforma with ITC cash grant 10 Yr Amort_for deferral_102809_16.37E Wild Horse Expansion DeferralRevwrkingfile SF" xfId="750" xr:uid="{00000000-0005-0000-0000-0000E4020000}"/>
    <cellStyle name="_Recon to Darrin's 5.11.05 proforma_(C) WHE Proforma with ITC cash grant 10 Yr Amort_for rebuttal_120709" xfId="751" xr:uid="{00000000-0005-0000-0000-0000E5020000}"/>
    <cellStyle name="_Recon to Darrin's 5.11.05 proforma_04.07E Wild Horse Wind Expansion" xfId="752" xr:uid="{00000000-0005-0000-0000-0000E6020000}"/>
    <cellStyle name="_Recon to Darrin's 5.11.05 proforma_04.07E Wild Horse Wind Expansion_16.07E Wild Horse Wind Expansionwrkingfile" xfId="753" xr:uid="{00000000-0005-0000-0000-0000E7020000}"/>
    <cellStyle name="_Recon to Darrin's 5.11.05 proforma_04.07E Wild Horse Wind Expansion_16.07E Wild Horse Wind Expansionwrkingfile SF" xfId="754" xr:uid="{00000000-0005-0000-0000-0000E8020000}"/>
    <cellStyle name="_Recon to Darrin's 5.11.05 proforma_04.07E Wild Horse Wind Expansion_16.37E Wild Horse Expansion DeferralRevwrkingfile SF" xfId="755" xr:uid="{00000000-0005-0000-0000-0000E9020000}"/>
    <cellStyle name="_Recon to Darrin's 5.11.05 proforma_16.07E Wild Horse Wind Expansionwrkingfile" xfId="756" xr:uid="{00000000-0005-0000-0000-0000EA020000}"/>
    <cellStyle name="_Recon to Darrin's 5.11.05 proforma_16.07E Wild Horse Wind Expansionwrkingfile SF" xfId="757" xr:uid="{00000000-0005-0000-0000-0000EB020000}"/>
    <cellStyle name="_Recon to Darrin's 5.11.05 proforma_16.37E Wild Horse Expansion DeferralRevwrkingfile SF" xfId="758" xr:uid="{00000000-0005-0000-0000-0000EC020000}"/>
    <cellStyle name="_Recon to Darrin's 5.11.05 proforma_2009 GRC Compl Filing - Exhibit D" xfId="759" xr:uid="{00000000-0005-0000-0000-0000ED020000}"/>
    <cellStyle name="_Recon to Darrin's 5.11.05 proforma_4 31 Regulatory Assets and Liabilities  7 06- Exhibit D" xfId="760" xr:uid="{00000000-0005-0000-0000-0000EE020000}"/>
    <cellStyle name="_Recon to Darrin's 5.11.05 proforma_4 31 Regulatory Assets and Liabilities  7 06- Exhibit D_NIM Summary" xfId="761" xr:uid="{00000000-0005-0000-0000-0000EF020000}"/>
    <cellStyle name="_Recon to Darrin's 5.11.05 proforma_4 32 Regulatory Assets and Liabilities  7 06- Exhibit D" xfId="762" xr:uid="{00000000-0005-0000-0000-0000F0020000}"/>
    <cellStyle name="_Recon to Darrin's 5.11.05 proforma_4 32 Regulatory Assets and Liabilities  7 06- Exhibit D_NIM Summary" xfId="763" xr:uid="{00000000-0005-0000-0000-0000F1020000}"/>
    <cellStyle name="_Recon to Darrin's 5.11.05 proforma_Book2" xfId="764" xr:uid="{00000000-0005-0000-0000-0000F2020000}"/>
    <cellStyle name="_Recon to Darrin's 5.11.05 proforma_Book2_Adj Bench DR 3 for Initial Briefs (Electric)" xfId="765" xr:uid="{00000000-0005-0000-0000-0000F3020000}"/>
    <cellStyle name="_Recon to Darrin's 5.11.05 proforma_Book2_Electric Rev Req Model (2009 GRC) Rebuttal REmoval of New  WH Solar AdjustMI" xfId="766" xr:uid="{00000000-0005-0000-0000-0000F4020000}"/>
    <cellStyle name="_Recon to Darrin's 5.11.05 proforma_Book2_Electric Rev Req Model (2009 GRC) Revised 01-18-2010" xfId="767" xr:uid="{00000000-0005-0000-0000-0000F5020000}"/>
    <cellStyle name="_Recon to Darrin's 5.11.05 proforma_Book4" xfId="768" xr:uid="{00000000-0005-0000-0000-0000F6020000}"/>
    <cellStyle name="_Recon to Darrin's 5.11.05 proforma_Book9" xfId="769" xr:uid="{00000000-0005-0000-0000-0000F7020000}"/>
    <cellStyle name="_Recon to Darrin's 5.11.05 proforma_Exhibit D fr R Gho 12-31-08" xfId="770" xr:uid="{00000000-0005-0000-0000-0000F8020000}"/>
    <cellStyle name="_Recon to Darrin's 5.11.05 proforma_Exhibit D fr R Gho 12-31-08 v2" xfId="771" xr:uid="{00000000-0005-0000-0000-0000F9020000}"/>
    <cellStyle name="_Recon to Darrin's 5.11.05 proforma_Exhibit D fr R Gho 12-31-08 v2_NIM Summary" xfId="772" xr:uid="{00000000-0005-0000-0000-0000FA020000}"/>
    <cellStyle name="_Recon to Darrin's 5.11.05 proforma_Exhibit D fr R Gho 12-31-08_NIM Summary" xfId="773" xr:uid="{00000000-0005-0000-0000-0000FB020000}"/>
    <cellStyle name="_Recon to Darrin's 5.11.05 proforma_Hopkins Ridge Prepaid Tran - Interest Earned RY 12ME Feb  '11" xfId="774" xr:uid="{00000000-0005-0000-0000-0000FC020000}"/>
    <cellStyle name="_Recon to Darrin's 5.11.05 proforma_Hopkins Ridge Prepaid Tran - Interest Earned RY 12ME Feb  '11_NIM Summary" xfId="775" xr:uid="{00000000-0005-0000-0000-0000FD020000}"/>
    <cellStyle name="_Recon to Darrin's 5.11.05 proforma_Hopkins Ridge Prepaid Tran - Interest Earned RY 12ME Feb  '11_Transmission Workbook for May BOD" xfId="776" xr:uid="{00000000-0005-0000-0000-0000FE020000}"/>
    <cellStyle name="_Recon to Darrin's 5.11.05 proforma_NIM Summary" xfId="777" xr:uid="{00000000-0005-0000-0000-0000FF020000}"/>
    <cellStyle name="_Recon to Darrin's 5.11.05 proforma_NIM Summary 09GRC" xfId="778" xr:uid="{00000000-0005-0000-0000-000000030000}"/>
    <cellStyle name="_Recon to Darrin's 5.11.05 proforma_PCA 7 - Exhibit D update 11_30_08 (2)" xfId="779" xr:uid="{00000000-0005-0000-0000-000001030000}"/>
    <cellStyle name="_Recon to Darrin's 5.11.05 proforma_PCA 7 - Exhibit D update 11_30_08 (2)_NIM Summary" xfId="780" xr:uid="{00000000-0005-0000-0000-000002030000}"/>
    <cellStyle name="_Recon to Darrin's 5.11.05 proforma_PCA 9 -  Exhibit D April 2010 (3)" xfId="781" xr:uid="{00000000-0005-0000-0000-000003030000}"/>
    <cellStyle name="_Recon to Darrin's 5.11.05 proforma_Power Costs - Comparison bx Rbtl-Staff-Jt-PC" xfId="782" xr:uid="{00000000-0005-0000-0000-000004030000}"/>
    <cellStyle name="_Recon to Darrin's 5.11.05 proforma_Power Costs - Comparison bx Rbtl-Staff-Jt-PC_Adj Bench DR 3 for Initial Briefs (Electric)" xfId="783" xr:uid="{00000000-0005-0000-0000-000005030000}"/>
    <cellStyle name="_Recon to Darrin's 5.11.05 proforma_Power Costs - Comparison bx Rbtl-Staff-Jt-PC_Electric Rev Req Model (2009 GRC) Rebuttal REmoval of New  WH Solar AdjustMI" xfId="784" xr:uid="{00000000-0005-0000-0000-000006030000}"/>
    <cellStyle name="_Recon to Darrin's 5.11.05 proforma_Power Costs - Comparison bx Rbtl-Staff-Jt-PC_Electric Rev Req Model (2009 GRC) Revised 01-18-2010" xfId="785" xr:uid="{00000000-0005-0000-0000-000007030000}"/>
    <cellStyle name="_Recon to Darrin's 5.11.05 proforma_Rebuttal Power Costs" xfId="786" xr:uid="{00000000-0005-0000-0000-000008030000}"/>
    <cellStyle name="_Recon to Darrin's 5.11.05 proforma_Rebuttal Power Costs_Adj Bench DR 3 for Initial Briefs (Electric)" xfId="787" xr:uid="{00000000-0005-0000-0000-000009030000}"/>
    <cellStyle name="_Recon to Darrin's 5.11.05 proforma_Rebuttal Power Costs_Electric Rev Req Model (2009 GRC) Rebuttal REmoval of New  WH Solar AdjustMI" xfId="788" xr:uid="{00000000-0005-0000-0000-00000A030000}"/>
    <cellStyle name="_Recon to Darrin's 5.11.05 proforma_Rebuttal Power Costs_Electric Rev Req Model (2009 GRC) Revised 01-18-2010" xfId="789" xr:uid="{00000000-0005-0000-0000-00000B030000}"/>
    <cellStyle name="_Recon to Darrin's 5.11.05 proforma_Transmission Workbook for May BOD" xfId="790" xr:uid="{00000000-0005-0000-0000-00000C030000}"/>
    <cellStyle name="_Recon to Darrin's 5.11.05 proforma_Wind Integration 10GRC" xfId="791" xr:uid="{00000000-0005-0000-0000-00000D030000}"/>
    <cellStyle name="_Sumas Proforma - 11-09-07" xfId="792" xr:uid="{00000000-0005-0000-0000-00000E030000}"/>
    <cellStyle name="_Sumas Property Taxes v1" xfId="793" xr:uid="{00000000-0005-0000-0000-00000F030000}"/>
    <cellStyle name="_Tenaska Comparison" xfId="794" xr:uid="{00000000-0005-0000-0000-000010030000}"/>
    <cellStyle name="_Tenaska Comparison_(C) WHE Proforma with ITC cash grant 10 Yr Amort_for deferral_102809" xfId="795" xr:uid="{00000000-0005-0000-0000-000011030000}"/>
    <cellStyle name="_Tenaska Comparison_(C) WHE Proforma with ITC cash grant 10 Yr Amort_for deferral_102809_16.07E Wild Horse Wind Expansionwrkingfile" xfId="796" xr:uid="{00000000-0005-0000-0000-000012030000}"/>
    <cellStyle name="_Tenaska Comparison_(C) WHE Proforma with ITC cash grant 10 Yr Amort_for deferral_102809_16.07E Wild Horse Wind Expansionwrkingfile SF" xfId="797" xr:uid="{00000000-0005-0000-0000-000013030000}"/>
    <cellStyle name="_Tenaska Comparison_(C) WHE Proforma with ITC cash grant 10 Yr Amort_for deferral_102809_16.37E Wild Horse Expansion DeferralRevwrkingfile SF" xfId="798" xr:uid="{00000000-0005-0000-0000-000014030000}"/>
    <cellStyle name="_Tenaska Comparison_(C) WHE Proforma with ITC cash grant 10 Yr Amort_for rebuttal_120709" xfId="799" xr:uid="{00000000-0005-0000-0000-000015030000}"/>
    <cellStyle name="_Tenaska Comparison_04.07E Wild Horse Wind Expansion" xfId="800" xr:uid="{00000000-0005-0000-0000-000016030000}"/>
    <cellStyle name="_Tenaska Comparison_04.07E Wild Horse Wind Expansion_16.07E Wild Horse Wind Expansionwrkingfile" xfId="801" xr:uid="{00000000-0005-0000-0000-000017030000}"/>
    <cellStyle name="_Tenaska Comparison_04.07E Wild Horse Wind Expansion_16.07E Wild Horse Wind Expansionwrkingfile SF" xfId="802" xr:uid="{00000000-0005-0000-0000-000018030000}"/>
    <cellStyle name="_Tenaska Comparison_04.07E Wild Horse Wind Expansion_16.37E Wild Horse Expansion DeferralRevwrkingfile SF" xfId="803" xr:uid="{00000000-0005-0000-0000-000019030000}"/>
    <cellStyle name="_Tenaska Comparison_16.07E Wild Horse Wind Expansionwrkingfile" xfId="804" xr:uid="{00000000-0005-0000-0000-00001A030000}"/>
    <cellStyle name="_Tenaska Comparison_16.07E Wild Horse Wind Expansionwrkingfile SF" xfId="805" xr:uid="{00000000-0005-0000-0000-00001B030000}"/>
    <cellStyle name="_Tenaska Comparison_16.37E Wild Horse Expansion DeferralRevwrkingfile SF" xfId="806" xr:uid="{00000000-0005-0000-0000-00001C030000}"/>
    <cellStyle name="_Tenaska Comparison_2009 GRC Compl Filing - Exhibit D" xfId="807" xr:uid="{00000000-0005-0000-0000-00001D030000}"/>
    <cellStyle name="_Tenaska Comparison_4 31 Regulatory Assets and Liabilities  7 06- Exhibit D" xfId="808" xr:uid="{00000000-0005-0000-0000-00001E030000}"/>
    <cellStyle name="_Tenaska Comparison_4 31 Regulatory Assets and Liabilities  7 06- Exhibit D_NIM Summary" xfId="809" xr:uid="{00000000-0005-0000-0000-00001F030000}"/>
    <cellStyle name="_Tenaska Comparison_4 32 Regulatory Assets and Liabilities  7 06- Exhibit D" xfId="810" xr:uid="{00000000-0005-0000-0000-000020030000}"/>
    <cellStyle name="_Tenaska Comparison_4 32 Regulatory Assets and Liabilities  7 06- Exhibit D_NIM Summary" xfId="811" xr:uid="{00000000-0005-0000-0000-000021030000}"/>
    <cellStyle name="_Tenaska Comparison_Book2" xfId="812" xr:uid="{00000000-0005-0000-0000-000022030000}"/>
    <cellStyle name="_Tenaska Comparison_Book2_Adj Bench DR 3 for Initial Briefs (Electric)" xfId="813" xr:uid="{00000000-0005-0000-0000-000023030000}"/>
    <cellStyle name="_Tenaska Comparison_Book2_Electric Rev Req Model (2009 GRC) Rebuttal REmoval of New  WH Solar AdjustMI" xfId="814" xr:uid="{00000000-0005-0000-0000-000024030000}"/>
    <cellStyle name="_Tenaska Comparison_Book2_Electric Rev Req Model (2009 GRC) Revised 01-18-2010" xfId="815" xr:uid="{00000000-0005-0000-0000-000025030000}"/>
    <cellStyle name="_Tenaska Comparison_Book4" xfId="816" xr:uid="{00000000-0005-0000-0000-000026030000}"/>
    <cellStyle name="_Tenaska Comparison_Book9" xfId="817" xr:uid="{00000000-0005-0000-0000-000027030000}"/>
    <cellStyle name="_Tenaska Comparison_NIM Summary" xfId="818" xr:uid="{00000000-0005-0000-0000-000028030000}"/>
    <cellStyle name="_Tenaska Comparison_NIM Summary 09GRC" xfId="819" xr:uid="{00000000-0005-0000-0000-000029030000}"/>
    <cellStyle name="_Tenaska Comparison_PCA 9 -  Exhibit D April 2010 (3)" xfId="820" xr:uid="{00000000-0005-0000-0000-00002A030000}"/>
    <cellStyle name="_Tenaska Comparison_Power Costs - Comparison bx Rbtl-Staff-Jt-PC" xfId="821" xr:uid="{00000000-0005-0000-0000-00002B030000}"/>
    <cellStyle name="_Tenaska Comparison_Power Costs - Comparison bx Rbtl-Staff-Jt-PC_Adj Bench DR 3 for Initial Briefs (Electric)" xfId="822" xr:uid="{00000000-0005-0000-0000-00002C030000}"/>
    <cellStyle name="_Tenaska Comparison_Power Costs - Comparison bx Rbtl-Staff-Jt-PC_Electric Rev Req Model (2009 GRC) Rebuttal REmoval of New  WH Solar AdjustMI" xfId="823" xr:uid="{00000000-0005-0000-0000-00002D030000}"/>
    <cellStyle name="_Tenaska Comparison_Power Costs - Comparison bx Rbtl-Staff-Jt-PC_Electric Rev Req Model (2009 GRC) Revised 01-18-2010" xfId="824" xr:uid="{00000000-0005-0000-0000-00002E030000}"/>
    <cellStyle name="_Tenaska Comparison_Rebuttal Power Costs" xfId="825" xr:uid="{00000000-0005-0000-0000-00002F030000}"/>
    <cellStyle name="_Tenaska Comparison_Rebuttal Power Costs_Adj Bench DR 3 for Initial Briefs (Electric)" xfId="826" xr:uid="{00000000-0005-0000-0000-000030030000}"/>
    <cellStyle name="_Tenaska Comparison_Rebuttal Power Costs_Electric Rev Req Model (2009 GRC) Rebuttal REmoval of New  WH Solar AdjustMI" xfId="827" xr:uid="{00000000-0005-0000-0000-000031030000}"/>
    <cellStyle name="_Tenaska Comparison_Rebuttal Power Costs_Electric Rev Req Model (2009 GRC) Revised 01-18-2010" xfId="828" xr:uid="{00000000-0005-0000-0000-000032030000}"/>
    <cellStyle name="_Tenaska Comparison_Transmission Workbook for May BOD" xfId="829" xr:uid="{00000000-0005-0000-0000-000033030000}"/>
    <cellStyle name="_Tenaska Comparison_Wind Integration 10GRC" xfId="830" xr:uid="{00000000-0005-0000-0000-000034030000}"/>
    <cellStyle name="_Value Copy 11 30 05 gas 12 09 05 AURORA at 12 14 05" xfId="831" xr:uid="{00000000-0005-0000-0000-000035030000}"/>
    <cellStyle name="_Value Copy 11 30 05 gas 12 09 05 AURORA at 12 14 05_04 07E Wild Horse Wind Expansion (C) (2)" xfId="832" xr:uid="{00000000-0005-0000-0000-000036030000}"/>
    <cellStyle name="_Value Copy 11 30 05 gas 12 09 05 AURORA at 12 14 05_04 07E Wild Horse Wind Expansion (C) (2)_Adj Bench DR 3 for Initial Briefs (Electric)" xfId="833" xr:uid="{00000000-0005-0000-0000-000037030000}"/>
    <cellStyle name="_Value Copy 11 30 05 gas 12 09 05 AURORA at 12 14 05_04 07E Wild Horse Wind Expansion (C) (2)_Electric Rev Req Model (2009 GRC) " xfId="834" xr:uid="{00000000-0005-0000-0000-000038030000}"/>
    <cellStyle name="_Value Copy 11 30 05 gas 12 09 05 AURORA at 12 14 05_04 07E Wild Horse Wind Expansion (C) (2)_Electric Rev Req Model (2009 GRC) Rebuttal REmoval of New  WH Solar AdjustMI" xfId="835" xr:uid="{00000000-0005-0000-0000-000039030000}"/>
    <cellStyle name="_Value Copy 11 30 05 gas 12 09 05 AURORA at 12 14 05_04 07E Wild Horse Wind Expansion (C) (2)_Electric Rev Req Model (2009 GRC) Revised 01-18-2010" xfId="836" xr:uid="{00000000-0005-0000-0000-00003A030000}"/>
    <cellStyle name="_Value Copy 11 30 05 gas 12 09 05 AURORA at 12 14 05_16.37E Wild Horse Expansion DeferralRevwrkingfile SF" xfId="837" xr:uid="{00000000-0005-0000-0000-00003B030000}"/>
    <cellStyle name="_Value Copy 11 30 05 gas 12 09 05 AURORA at 12 14 05_2009 GRC Compl Filing - Exhibit D" xfId="838" xr:uid="{00000000-0005-0000-0000-00003C030000}"/>
    <cellStyle name="_Value Copy 11 30 05 gas 12 09 05 AURORA at 12 14 05_4 31 Regulatory Assets and Liabilities  7 06- Exhibit D" xfId="839" xr:uid="{00000000-0005-0000-0000-00003D030000}"/>
    <cellStyle name="_Value Copy 11 30 05 gas 12 09 05 AURORA at 12 14 05_4 31 Regulatory Assets and Liabilities  7 06- Exhibit D_NIM Summary" xfId="840" xr:uid="{00000000-0005-0000-0000-00003E030000}"/>
    <cellStyle name="_Value Copy 11 30 05 gas 12 09 05 AURORA at 12 14 05_4 32 Regulatory Assets and Liabilities  7 06- Exhibit D" xfId="841" xr:uid="{00000000-0005-0000-0000-00003F030000}"/>
    <cellStyle name="_Value Copy 11 30 05 gas 12 09 05 AURORA at 12 14 05_4 32 Regulatory Assets and Liabilities  7 06- Exhibit D_NIM Summary" xfId="842" xr:uid="{00000000-0005-0000-0000-000040030000}"/>
    <cellStyle name="_Value Copy 11 30 05 gas 12 09 05 AURORA at 12 14 05_Book2" xfId="843" xr:uid="{00000000-0005-0000-0000-000041030000}"/>
    <cellStyle name="_Value Copy 11 30 05 gas 12 09 05 AURORA at 12 14 05_Book2_Adj Bench DR 3 for Initial Briefs (Electric)" xfId="844" xr:uid="{00000000-0005-0000-0000-000042030000}"/>
    <cellStyle name="_Value Copy 11 30 05 gas 12 09 05 AURORA at 12 14 05_Book2_Electric Rev Req Model (2009 GRC) Rebuttal REmoval of New  WH Solar AdjustMI" xfId="845" xr:uid="{00000000-0005-0000-0000-000043030000}"/>
    <cellStyle name="_Value Copy 11 30 05 gas 12 09 05 AURORA at 12 14 05_Book2_Electric Rev Req Model (2009 GRC) Revised 01-18-2010" xfId="846" xr:uid="{00000000-0005-0000-0000-000044030000}"/>
    <cellStyle name="_Value Copy 11 30 05 gas 12 09 05 AURORA at 12 14 05_Book4" xfId="847" xr:uid="{00000000-0005-0000-0000-000045030000}"/>
    <cellStyle name="_Value Copy 11 30 05 gas 12 09 05 AURORA at 12 14 05_Book9" xfId="848" xr:uid="{00000000-0005-0000-0000-000046030000}"/>
    <cellStyle name="_Value Copy 11 30 05 gas 12 09 05 AURORA at 12 14 05_Exhibit D fr R Gho 12-31-08" xfId="849" xr:uid="{00000000-0005-0000-0000-000047030000}"/>
    <cellStyle name="_Value Copy 11 30 05 gas 12 09 05 AURORA at 12 14 05_Exhibit D fr R Gho 12-31-08 v2" xfId="850" xr:uid="{00000000-0005-0000-0000-000048030000}"/>
    <cellStyle name="_Value Copy 11 30 05 gas 12 09 05 AURORA at 12 14 05_Exhibit D fr R Gho 12-31-08 v2_NIM Summary" xfId="851" xr:uid="{00000000-0005-0000-0000-000049030000}"/>
    <cellStyle name="_Value Copy 11 30 05 gas 12 09 05 AURORA at 12 14 05_Exhibit D fr R Gho 12-31-08_NIM Summary" xfId="852" xr:uid="{00000000-0005-0000-0000-00004A030000}"/>
    <cellStyle name="_Value Copy 11 30 05 gas 12 09 05 AURORA at 12 14 05_Hopkins Ridge Prepaid Tran - Interest Earned RY 12ME Feb  '11" xfId="853" xr:uid="{00000000-0005-0000-0000-00004B030000}"/>
    <cellStyle name="_Value Copy 11 30 05 gas 12 09 05 AURORA at 12 14 05_Hopkins Ridge Prepaid Tran - Interest Earned RY 12ME Feb  '11_NIM Summary" xfId="854" xr:uid="{00000000-0005-0000-0000-00004C030000}"/>
    <cellStyle name="_Value Copy 11 30 05 gas 12 09 05 AURORA at 12 14 05_Hopkins Ridge Prepaid Tran - Interest Earned RY 12ME Feb  '11_Transmission Workbook for May BOD" xfId="855" xr:uid="{00000000-0005-0000-0000-00004D030000}"/>
    <cellStyle name="_Value Copy 11 30 05 gas 12 09 05 AURORA at 12 14 05_NIM Summary" xfId="856" xr:uid="{00000000-0005-0000-0000-00004E030000}"/>
    <cellStyle name="_Value Copy 11 30 05 gas 12 09 05 AURORA at 12 14 05_NIM Summary 09GRC" xfId="857" xr:uid="{00000000-0005-0000-0000-00004F030000}"/>
    <cellStyle name="_Value Copy 11 30 05 gas 12 09 05 AURORA at 12 14 05_PCA 7 - Exhibit D update 11_30_08 (2)" xfId="858" xr:uid="{00000000-0005-0000-0000-000050030000}"/>
    <cellStyle name="_Value Copy 11 30 05 gas 12 09 05 AURORA at 12 14 05_PCA 7 - Exhibit D update 11_30_08 (2)_NIM Summary" xfId="859" xr:uid="{00000000-0005-0000-0000-000051030000}"/>
    <cellStyle name="_Value Copy 11 30 05 gas 12 09 05 AURORA at 12 14 05_PCA 9 -  Exhibit D April 2010 (3)" xfId="860" xr:uid="{00000000-0005-0000-0000-000052030000}"/>
    <cellStyle name="_Value Copy 11 30 05 gas 12 09 05 AURORA at 12 14 05_Power Costs - Comparison bx Rbtl-Staff-Jt-PC" xfId="861" xr:uid="{00000000-0005-0000-0000-000053030000}"/>
    <cellStyle name="_Value Copy 11 30 05 gas 12 09 05 AURORA at 12 14 05_Power Costs - Comparison bx Rbtl-Staff-Jt-PC_Adj Bench DR 3 for Initial Briefs (Electric)" xfId="862" xr:uid="{00000000-0005-0000-0000-000054030000}"/>
    <cellStyle name="_Value Copy 11 30 05 gas 12 09 05 AURORA at 12 14 05_Power Costs - Comparison bx Rbtl-Staff-Jt-PC_Electric Rev Req Model (2009 GRC) Rebuttal REmoval of New  WH Solar AdjustMI" xfId="863" xr:uid="{00000000-0005-0000-0000-000055030000}"/>
    <cellStyle name="_Value Copy 11 30 05 gas 12 09 05 AURORA at 12 14 05_Power Costs - Comparison bx Rbtl-Staff-Jt-PC_Electric Rev Req Model (2009 GRC) Revised 01-18-2010" xfId="864" xr:uid="{00000000-0005-0000-0000-000056030000}"/>
    <cellStyle name="_Value Copy 11 30 05 gas 12 09 05 AURORA at 12 14 05_Rebuttal Power Costs" xfId="865" xr:uid="{00000000-0005-0000-0000-000057030000}"/>
    <cellStyle name="_Value Copy 11 30 05 gas 12 09 05 AURORA at 12 14 05_Rebuttal Power Costs_Adj Bench DR 3 for Initial Briefs (Electric)" xfId="866" xr:uid="{00000000-0005-0000-0000-000058030000}"/>
    <cellStyle name="_Value Copy 11 30 05 gas 12 09 05 AURORA at 12 14 05_Rebuttal Power Costs_Electric Rev Req Model (2009 GRC) Rebuttal REmoval of New  WH Solar AdjustMI" xfId="867" xr:uid="{00000000-0005-0000-0000-000059030000}"/>
    <cellStyle name="_Value Copy 11 30 05 gas 12 09 05 AURORA at 12 14 05_Rebuttal Power Costs_Electric Rev Req Model (2009 GRC) Revised 01-18-2010" xfId="868" xr:uid="{00000000-0005-0000-0000-00005A030000}"/>
    <cellStyle name="_Value Copy 11 30 05 gas 12 09 05 AURORA at 12 14 05_Transmission Workbook for May BOD" xfId="869" xr:uid="{00000000-0005-0000-0000-00005B030000}"/>
    <cellStyle name="_Value Copy 11 30 05 gas 12 09 05 AURORA at 12 14 05_Wind Integration 10GRC" xfId="870" xr:uid="{00000000-0005-0000-0000-00005C030000}"/>
    <cellStyle name="_VC 6.15.06 update on 06GRC power costs.xls Chart 1" xfId="871" xr:uid="{00000000-0005-0000-0000-00005D030000}"/>
    <cellStyle name="_VC 6.15.06 update on 06GRC power costs.xls Chart 1_04 07E Wild Horse Wind Expansion (C) (2)" xfId="872" xr:uid="{00000000-0005-0000-0000-00005E030000}"/>
    <cellStyle name="_VC 6.15.06 update on 06GRC power costs.xls Chart 1_04 07E Wild Horse Wind Expansion (C) (2)_Adj Bench DR 3 for Initial Briefs (Electric)" xfId="873" xr:uid="{00000000-0005-0000-0000-00005F030000}"/>
    <cellStyle name="_VC 6.15.06 update on 06GRC power costs.xls Chart 1_04 07E Wild Horse Wind Expansion (C) (2)_Electric Rev Req Model (2009 GRC) " xfId="874" xr:uid="{00000000-0005-0000-0000-000060030000}"/>
    <cellStyle name="_VC 6.15.06 update on 06GRC power costs.xls Chart 1_04 07E Wild Horse Wind Expansion (C) (2)_Electric Rev Req Model (2009 GRC) Rebuttal REmoval of New  WH Solar AdjustMI" xfId="875" xr:uid="{00000000-0005-0000-0000-000061030000}"/>
    <cellStyle name="_VC 6.15.06 update on 06GRC power costs.xls Chart 1_04 07E Wild Horse Wind Expansion (C) (2)_Electric Rev Req Model (2009 GRC) Revised 01-18-2010" xfId="876" xr:uid="{00000000-0005-0000-0000-000062030000}"/>
    <cellStyle name="_VC 6.15.06 update on 06GRC power costs.xls Chart 1_16.37E Wild Horse Expansion DeferralRevwrkingfile SF" xfId="877" xr:uid="{00000000-0005-0000-0000-000063030000}"/>
    <cellStyle name="_VC 6.15.06 update on 06GRC power costs.xls Chart 1_2009 GRC Compl Filing - Exhibit D" xfId="878" xr:uid="{00000000-0005-0000-0000-000064030000}"/>
    <cellStyle name="_VC 6.15.06 update on 06GRC power costs.xls Chart 1_4 31 Regulatory Assets and Liabilities  7 06- Exhibit D" xfId="879" xr:uid="{00000000-0005-0000-0000-000065030000}"/>
    <cellStyle name="_VC 6.15.06 update on 06GRC power costs.xls Chart 1_4 31 Regulatory Assets and Liabilities  7 06- Exhibit D_NIM Summary" xfId="880" xr:uid="{00000000-0005-0000-0000-000066030000}"/>
    <cellStyle name="_VC 6.15.06 update on 06GRC power costs.xls Chart 1_4 32 Regulatory Assets and Liabilities  7 06- Exhibit D" xfId="881" xr:uid="{00000000-0005-0000-0000-000067030000}"/>
    <cellStyle name="_VC 6.15.06 update on 06GRC power costs.xls Chart 1_4 32 Regulatory Assets and Liabilities  7 06- Exhibit D_NIM Summary" xfId="882" xr:uid="{00000000-0005-0000-0000-000068030000}"/>
    <cellStyle name="_VC 6.15.06 update on 06GRC power costs.xls Chart 1_Book2" xfId="883" xr:uid="{00000000-0005-0000-0000-000069030000}"/>
    <cellStyle name="_VC 6.15.06 update on 06GRC power costs.xls Chart 1_Book2_Adj Bench DR 3 for Initial Briefs (Electric)" xfId="884" xr:uid="{00000000-0005-0000-0000-00006A030000}"/>
    <cellStyle name="_VC 6.15.06 update on 06GRC power costs.xls Chart 1_Book2_Electric Rev Req Model (2009 GRC) Rebuttal REmoval of New  WH Solar AdjustMI" xfId="885" xr:uid="{00000000-0005-0000-0000-00006B030000}"/>
    <cellStyle name="_VC 6.15.06 update on 06GRC power costs.xls Chart 1_Book2_Electric Rev Req Model (2009 GRC) Revised 01-18-2010" xfId="886" xr:uid="{00000000-0005-0000-0000-00006C030000}"/>
    <cellStyle name="_VC 6.15.06 update on 06GRC power costs.xls Chart 1_Book4" xfId="887" xr:uid="{00000000-0005-0000-0000-00006D030000}"/>
    <cellStyle name="_VC 6.15.06 update on 06GRC power costs.xls Chart 1_Book9" xfId="888" xr:uid="{00000000-0005-0000-0000-00006E030000}"/>
    <cellStyle name="_VC 6.15.06 update on 06GRC power costs.xls Chart 1_NIM Summary" xfId="889" xr:uid="{00000000-0005-0000-0000-00006F030000}"/>
    <cellStyle name="_VC 6.15.06 update on 06GRC power costs.xls Chart 1_NIM Summary 09GRC" xfId="890" xr:uid="{00000000-0005-0000-0000-000070030000}"/>
    <cellStyle name="_VC 6.15.06 update on 06GRC power costs.xls Chart 1_PCA 9 -  Exhibit D April 2010 (3)" xfId="891" xr:uid="{00000000-0005-0000-0000-000071030000}"/>
    <cellStyle name="_VC 6.15.06 update on 06GRC power costs.xls Chart 1_Power Costs - Comparison bx Rbtl-Staff-Jt-PC" xfId="892" xr:uid="{00000000-0005-0000-0000-000072030000}"/>
    <cellStyle name="_VC 6.15.06 update on 06GRC power costs.xls Chart 1_Power Costs - Comparison bx Rbtl-Staff-Jt-PC_Adj Bench DR 3 for Initial Briefs (Electric)" xfId="893" xr:uid="{00000000-0005-0000-0000-000073030000}"/>
    <cellStyle name="_VC 6.15.06 update on 06GRC power costs.xls Chart 1_Power Costs - Comparison bx Rbtl-Staff-Jt-PC_Electric Rev Req Model (2009 GRC) Rebuttal REmoval of New  WH Solar AdjustMI" xfId="894" xr:uid="{00000000-0005-0000-0000-000074030000}"/>
    <cellStyle name="_VC 6.15.06 update on 06GRC power costs.xls Chart 1_Power Costs - Comparison bx Rbtl-Staff-Jt-PC_Electric Rev Req Model (2009 GRC) Revised 01-18-2010" xfId="895" xr:uid="{00000000-0005-0000-0000-000075030000}"/>
    <cellStyle name="_VC 6.15.06 update on 06GRC power costs.xls Chart 1_Rebuttal Power Costs" xfId="896" xr:uid="{00000000-0005-0000-0000-000076030000}"/>
    <cellStyle name="_VC 6.15.06 update on 06GRC power costs.xls Chart 1_Rebuttal Power Costs_Adj Bench DR 3 for Initial Briefs (Electric)" xfId="897" xr:uid="{00000000-0005-0000-0000-000077030000}"/>
    <cellStyle name="_VC 6.15.06 update on 06GRC power costs.xls Chart 1_Rebuttal Power Costs_Electric Rev Req Model (2009 GRC) Rebuttal REmoval of New  WH Solar AdjustMI" xfId="898" xr:uid="{00000000-0005-0000-0000-000078030000}"/>
    <cellStyle name="_VC 6.15.06 update on 06GRC power costs.xls Chart 1_Rebuttal Power Costs_Electric Rev Req Model (2009 GRC) Revised 01-18-2010" xfId="899" xr:uid="{00000000-0005-0000-0000-000079030000}"/>
    <cellStyle name="_VC 6.15.06 update on 06GRC power costs.xls Chart 1_Wind Integration 10GRC" xfId="900" xr:uid="{00000000-0005-0000-0000-00007A030000}"/>
    <cellStyle name="_VC 6.15.06 update on 06GRC power costs.xls Chart 2" xfId="901" xr:uid="{00000000-0005-0000-0000-00007B030000}"/>
    <cellStyle name="_VC 6.15.06 update on 06GRC power costs.xls Chart 2_04 07E Wild Horse Wind Expansion (C) (2)" xfId="902" xr:uid="{00000000-0005-0000-0000-00007C030000}"/>
    <cellStyle name="_VC 6.15.06 update on 06GRC power costs.xls Chart 2_04 07E Wild Horse Wind Expansion (C) (2)_Adj Bench DR 3 for Initial Briefs (Electric)" xfId="903" xr:uid="{00000000-0005-0000-0000-00007D030000}"/>
    <cellStyle name="_VC 6.15.06 update on 06GRC power costs.xls Chart 2_04 07E Wild Horse Wind Expansion (C) (2)_Electric Rev Req Model (2009 GRC) " xfId="904" xr:uid="{00000000-0005-0000-0000-00007E030000}"/>
    <cellStyle name="_VC 6.15.06 update on 06GRC power costs.xls Chart 2_04 07E Wild Horse Wind Expansion (C) (2)_Electric Rev Req Model (2009 GRC) Rebuttal REmoval of New  WH Solar AdjustMI" xfId="905" xr:uid="{00000000-0005-0000-0000-00007F030000}"/>
    <cellStyle name="_VC 6.15.06 update on 06GRC power costs.xls Chart 2_04 07E Wild Horse Wind Expansion (C) (2)_Electric Rev Req Model (2009 GRC) Revised 01-18-2010" xfId="906" xr:uid="{00000000-0005-0000-0000-000080030000}"/>
    <cellStyle name="_VC 6.15.06 update on 06GRC power costs.xls Chart 2_16.37E Wild Horse Expansion DeferralRevwrkingfile SF" xfId="907" xr:uid="{00000000-0005-0000-0000-000081030000}"/>
    <cellStyle name="_VC 6.15.06 update on 06GRC power costs.xls Chart 2_2009 GRC Compl Filing - Exhibit D" xfId="908" xr:uid="{00000000-0005-0000-0000-000082030000}"/>
    <cellStyle name="_VC 6.15.06 update on 06GRC power costs.xls Chart 2_4 31 Regulatory Assets and Liabilities  7 06- Exhibit D" xfId="909" xr:uid="{00000000-0005-0000-0000-000083030000}"/>
    <cellStyle name="_VC 6.15.06 update on 06GRC power costs.xls Chart 2_4 31 Regulatory Assets and Liabilities  7 06- Exhibit D_NIM Summary" xfId="910" xr:uid="{00000000-0005-0000-0000-000084030000}"/>
    <cellStyle name="_VC 6.15.06 update on 06GRC power costs.xls Chart 2_4 32 Regulatory Assets and Liabilities  7 06- Exhibit D" xfId="911" xr:uid="{00000000-0005-0000-0000-000085030000}"/>
    <cellStyle name="_VC 6.15.06 update on 06GRC power costs.xls Chart 2_4 32 Regulatory Assets and Liabilities  7 06- Exhibit D_NIM Summary" xfId="912" xr:uid="{00000000-0005-0000-0000-000086030000}"/>
    <cellStyle name="_VC 6.15.06 update on 06GRC power costs.xls Chart 2_Book2" xfId="913" xr:uid="{00000000-0005-0000-0000-000087030000}"/>
    <cellStyle name="_VC 6.15.06 update on 06GRC power costs.xls Chart 2_Book2_Adj Bench DR 3 for Initial Briefs (Electric)" xfId="914" xr:uid="{00000000-0005-0000-0000-000088030000}"/>
    <cellStyle name="_VC 6.15.06 update on 06GRC power costs.xls Chart 2_Book2_Electric Rev Req Model (2009 GRC) Rebuttal REmoval of New  WH Solar AdjustMI" xfId="915" xr:uid="{00000000-0005-0000-0000-000089030000}"/>
    <cellStyle name="_VC 6.15.06 update on 06GRC power costs.xls Chart 2_Book2_Electric Rev Req Model (2009 GRC) Revised 01-18-2010" xfId="916" xr:uid="{00000000-0005-0000-0000-00008A030000}"/>
    <cellStyle name="_VC 6.15.06 update on 06GRC power costs.xls Chart 2_Book4" xfId="917" xr:uid="{00000000-0005-0000-0000-00008B030000}"/>
    <cellStyle name="_VC 6.15.06 update on 06GRC power costs.xls Chart 2_Book9" xfId="918" xr:uid="{00000000-0005-0000-0000-00008C030000}"/>
    <cellStyle name="_VC 6.15.06 update on 06GRC power costs.xls Chart 2_NIM Summary" xfId="919" xr:uid="{00000000-0005-0000-0000-00008D030000}"/>
    <cellStyle name="_VC 6.15.06 update on 06GRC power costs.xls Chart 2_NIM Summary 09GRC" xfId="920" xr:uid="{00000000-0005-0000-0000-00008E030000}"/>
    <cellStyle name="_VC 6.15.06 update on 06GRC power costs.xls Chart 2_PCA 9 -  Exhibit D April 2010 (3)" xfId="921" xr:uid="{00000000-0005-0000-0000-00008F030000}"/>
    <cellStyle name="_VC 6.15.06 update on 06GRC power costs.xls Chart 2_Power Costs - Comparison bx Rbtl-Staff-Jt-PC" xfId="922" xr:uid="{00000000-0005-0000-0000-000090030000}"/>
    <cellStyle name="_VC 6.15.06 update on 06GRC power costs.xls Chart 2_Power Costs - Comparison bx Rbtl-Staff-Jt-PC_Adj Bench DR 3 for Initial Briefs (Electric)" xfId="923" xr:uid="{00000000-0005-0000-0000-000091030000}"/>
    <cellStyle name="_VC 6.15.06 update on 06GRC power costs.xls Chart 2_Power Costs - Comparison bx Rbtl-Staff-Jt-PC_Electric Rev Req Model (2009 GRC) Rebuttal REmoval of New  WH Solar AdjustMI" xfId="924" xr:uid="{00000000-0005-0000-0000-000092030000}"/>
    <cellStyle name="_VC 6.15.06 update on 06GRC power costs.xls Chart 2_Power Costs - Comparison bx Rbtl-Staff-Jt-PC_Electric Rev Req Model (2009 GRC) Revised 01-18-2010" xfId="925" xr:uid="{00000000-0005-0000-0000-000093030000}"/>
    <cellStyle name="_VC 6.15.06 update on 06GRC power costs.xls Chart 2_Rebuttal Power Costs" xfId="926" xr:uid="{00000000-0005-0000-0000-000094030000}"/>
    <cellStyle name="_VC 6.15.06 update on 06GRC power costs.xls Chart 2_Rebuttal Power Costs_Adj Bench DR 3 for Initial Briefs (Electric)" xfId="927" xr:uid="{00000000-0005-0000-0000-000095030000}"/>
    <cellStyle name="_VC 6.15.06 update on 06GRC power costs.xls Chart 2_Rebuttal Power Costs_Electric Rev Req Model (2009 GRC) Rebuttal REmoval of New  WH Solar AdjustMI" xfId="928" xr:uid="{00000000-0005-0000-0000-000096030000}"/>
    <cellStyle name="_VC 6.15.06 update on 06GRC power costs.xls Chart 2_Rebuttal Power Costs_Electric Rev Req Model (2009 GRC) Revised 01-18-2010" xfId="929" xr:uid="{00000000-0005-0000-0000-000097030000}"/>
    <cellStyle name="_VC 6.15.06 update on 06GRC power costs.xls Chart 2_Wind Integration 10GRC" xfId="930" xr:uid="{00000000-0005-0000-0000-000098030000}"/>
    <cellStyle name="_VC 6.15.06 update on 06GRC power costs.xls Chart 3" xfId="931" xr:uid="{00000000-0005-0000-0000-000099030000}"/>
    <cellStyle name="_VC 6.15.06 update on 06GRC power costs.xls Chart 3_04 07E Wild Horse Wind Expansion (C) (2)" xfId="932" xr:uid="{00000000-0005-0000-0000-00009A030000}"/>
    <cellStyle name="_VC 6.15.06 update on 06GRC power costs.xls Chart 3_04 07E Wild Horse Wind Expansion (C) (2)_Adj Bench DR 3 for Initial Briefs (Electric)" xfId="933" xr:uid="{00000000-0005-0000-0000-00009B030000}"/>
    <cellStyle name="_VC 6.15.06 update on 06GRC power costs.xls Chart 3_04 07E Wild Horse Wind Expansion (C) (2)_Electric Rev Req Model (2009 GRC) " xfId="934" xr:uid="{00000000-0005-0000-0000-00009C030000}"/>
    <cellStyle name="_VC 6.15.06 update on 06GRC power costs.xls Chart 3_04 07E Wild Horse Wind Expansion (C) (2)_Electric Rev Req Model (2009 GRC) Rebuttal REmoval of New  WH Solar AdjustMI" xfId="935" xr:uid="{00000000-0005-0000-0000-00009D030000}"/>
    <cellStyle name="_VC 6.15.06 update on 06GRC power costs.xls Chart 3_04 07E Wild Horse Wind Expansion (C) (2)_Electric Rev Req Model (2009 GRC) Revised 01-18-2010" xfId="936" xr:uid="{00000000-0005-0000-0000-00009E030000}"/>
    <cellStyle name="_VC 6.15.06 update on 06GRC power costs.xls Chart 3_16.37E Wild Horse Expansion DeferralRevwrkingfile SF" xfId="937" xr:uid="{00000000-0005-0000-0000-00009F030000}"/>
    <cellStyle name="_VC 6.15.06 update on 06GRC power costs.xls Chart 3_2009 GRC Compl Filing - Exhibit D" xfId="938" xr:uid="{00000000-0005-0000-0000-0000A0030000}"/>
    <cellStyle name="_VC 6.15.06 update on 06GRC power costs.xls Chart 3_4 31 Regulatory Assets and Liabilities  7 06- Exhibit D" xfId="939" xr:uid="{00000000-0005-0000-0000-0000A1030000}"/>
    <cellStyle name="_VC 6.15.06 update on 06GRC power costs.xls Chart 3_4 31 Regulatory Assets and Liabilities  7 06- Exhibit D_NIM Summary" xfId="940" xr:uid="{00000000-0005-0000-0000-0000A2030000}"/>
    <cellStyle name="_VC 6.15.06 update on 06GRC power costs.xls Chart 3_4 32 Regulatory Assets and Liabilities  7 06- Exhibit D" xfId="941" xr:uid="{00000000-0005-0000-0000-0000A3030000}"/>
    <cellStyle name="_VC 6.15.06 update on 06GRC power costs.xls Chart 3_4 32 Regulatory Assets and Liabilities  7 06- Exhibit D_NIM Summary" xfId="942" xr:uid="{00000000-0005-0000-0000-0000A4030000}"/>
    <cellStyle name="_VC 6.15.06 update on 06GRC power costs.xls Chart 3_Book2" xfId="943" xr:uid="{00000000-0005-0000-0000-0000A5030000}"/>
    <cellStyle name="_VC 6.15.06 update on 06GRC power costs.xls Chart 3_Book2_Adj Bench DR 3 for Initial Briefs (Electric)" xfId="944" xr:uid="{00000000-0005-0000-0000-0000A6030000}"/>
    <cellStyle name="_VC 6.15.06 update on 06GRC power costs.xls Chart 3_Book2_Electric Rev Req Model (2009 GRC) Rebuttal REmoval of New  WH Solar AdjustMI" xfId="945" xr:uid="{00000000-0005-0000-0000-0000A7030000}"/>
    <cellStyle name="_VC 6.15.06 update on 06GRC power costs.xls Chart 3_Book2_Electric Rev Req Model (2009 GRC) Revised 01-18-2010" xfId="946" xr:uid="{00000000-0005-0000-0000-0000A8030000}"/>
    <cellStyle name="_VC 6.15.06 update on 06GRC power costs.xls Chart 3_Book4" xfId="947" xr:uid="{00000000-0005-0000-0000-0000A9030000}"/>
    <cellStyle name="_VC 6.15.06 update on 06GRC power costs.xls Chart 3_Book9" xfId="948" xr:uid="{00000000-0005-0000-0000-0000AA030000}"/>
    <cellStyle name="_VC 6.15.06 update on 06GRC power costs.xls Chart 3_NIM Summary" xfId="949" xr:uid="{00000000-0005-0000-0000-0000AB030000}"/>
    <cellStyle name="_VC 6.15.06 update on 06GRC power costs.xls Chart 3_NIM Summary 09GRC" xfId="950" xr:uid="{00000000-0005-0000-0000-0000AC030000}"/>
    <cellStyle name="_VC 6.15.06 update on 06GRC power costs.xls Chart 3_PCA 9 -  Exhibit D April 2010 (3)" xfId="951" xr:uid="{00000000-0005-0000-0000-0000AD030000}"/>
    <cellStyle name="_VC 6.15.06 update on 06GRC power costs.xls Chart 3_Power Costs - Comparison bx Rbtl-Staff-Jt-PC" xfId="952" xr:uid="{00000000-0005-0000-0000-0000AE030000}"/>
    <cellStyle name="_VC 6.15.06 update on 06GRC power costs.xls Chart 3_Power Costs - Comparison bx Rbtl-Staff-Jt-PC_Adj Bench DR 3 for Initial Briefs (Electric)" xfId="953" xr:uid="{00000000-0005-0000-0000-0000AF030000}"/>
    <cellStyle name="_VC 6.15.06 update on 06GRC power costs.xls Chart 3_Power Costs - Comparison bx Rbtl-Staff-Jt-PC_Electric Rev Req Model (2009 GRC) Rebuttal REmoval of New  WH Solar AdjustMI" xfId="954" xr:uid="{00000000-0005-0000-0000-0000B0030000}"/>
    <cellStyle name="_VC 6.15.06 update on 06GRC power costs.xls Chart 3_Power Costs - Comparison bx Rbtl-Staff-Jt-PC_Electric Rev Req Model (2009 GRC) Revised 01-18-2010" xfId="955" xr:uid="{00000000-0005-0000-0000-0000B1030000}"/>
    <cellStyle name="_VC 6.15.06 update on 06GRC power costs.xls Chart 3_Rebuttal Power Costs" xfId="956" xr:uid="{00000000-0005-0000-0000-0000B2030000}"/>
    <cellStyle name="_VC 6.15.06 update on 06GRC power costs.xls Chart 3_Rebuttal Power Costs_Adj Bench DR 3 for Initial Briefs (Electric)" xfId="957" xr:uid="{00000000-0005-0000-0000-0000B3030000}"/>
    <cellStyle name="_VC 6.15.06 update on 06GRC power costs.xls Chart 3_Rebuttal Power Costs_Electric Rev Req Model (2009 GRC) Rebuttal REmoval of New  WH Solar AdjustMI" xfId="958" xr:uid="{00000000-0005-0000-0000-0000B4030000}"/>
    <cellStyle name="_VC 6.15.06 update on 06GRC power costs.xls Chart 3_Rebuttal Power Costs_Electric Rev Req Model (2009 GRC) Revised 01-18-2010" xfId="959" xr:uid="{00000000-0005-0000-0000-0000B5030000}"/>
    <cellStyle name="_VC 6.15.06 update on 06GRC power costs.xls Chart 3_Wind Integration 10GRC" xfId="960" xr:uid="{00000000-0005-0000-0000-0000B6030000}"/>
    <cellStyle name="_Worksheet" xfId="961" xr:uid="{00000000-0005-0000-0000-0000B7030000}"/>
    <cellStyle name="_Worksheet_NIM Summary" xfId="962" xr:uid="{00000000-0005-0000-0000-0000B8030000}"/>
    <cellStyle name="_Worksheet_Transmission Workbook for May BOD" xfId="963" xr:uid="{00000000-0005-0000-0000-0000B9030000}"/>
    <cellStyle name="_Worksheet_Wind Integration 10GRC" xfId="964" xr:uid="{00000000-0005-0000-0000-0000BA030000}"/>
    <cellStyle name="0,0_x000d__x000a_NA_x000d__x000a_" xfId="965" xr:uid="{00000000-0005-0000-0000-0000BB030000}"/>
    <cellStyle name="20% - Accent1 2" xfId="966" xr:uid="{00000000-0005-0000-0000-0000BC030000}"/>
    <cellStyle name="20% - Accent1 2 2" xfId="967" xr:uid="{00000000-0005-0000-0000-0000BD030000}"/>
    <cellStyle name="20% - Accent1 3" xfId="968" xr:uid="{00000000-0005-0000-0000-0000BE030000}"/>
    <cellStyle name="20% - Accent2 2" xfId="969" xr:uid="{00000000-0005-0000-0000-0000BF030000}"/>
    <cellStyle name="20% - Accent2 2 2" xfId="970" xr:uid="{00000000-0005-0000-0000-0000C0030000}"/>
    <cellStyle name="20% - Accent2 3" xfId="971" xr:uid="{00000000-0005-0000-0000-0000C1030000}"/>
    <cellStyle name="20% - Accent3 2" xfId="972" xr:uid="{00000000-0005-0000-0000-0000C2030000}"/>
    <cellStyle name="20% - Accent3 2 2" xfId="973" xr:uid="{00000000-0005-0000-0000-0000C3030000}"/>
    <cellStyle name="20% - Accent3 3" xfId="974" xr:uid="{00000000-0005-0000-0000-0000C4030000}"/>
    <cellStyle name="20% - Accent4 2" xfId="975" xr:uid="{00000000-0005-0000-0000-0000C5030000}"/>
    <cellStyle name="20% - Accent4 2 2" xfId="976" xr:uid="{00000000-0005-0000-0000-0000C6030000}"/>
    <cellStyle name="20% - Accent4 3" xfId="977" xr:uid="{00000000-0005-0000-0000-0000C7030000}"/>
    <cellStyle name="20% - Accent5 2" xfId="978" xr:uid="{00000000-0005-0000-0000-0000C8030000}"/>
    <cellStyle name="20% - Accent5 2 2" xfId="979" xr:uid="{00000000-0005-0000-0000-0000C9030000}"/>
    <cellStyle name="20% - Accent5 3" xfId="980" xr:uid="{00000000-0005-0000-0000-0000CA030000}"/>
    <cellStyle name="20% - Accent6 2" xfId="981" xr:uid="{00000000-0005-0000-0000-0000CB030000}"/>
    <cellStyle name="20% - Accent6 2 2" xfId="982" xr:uid="{00000000-0005-0000-0000-0000CC030000}"/>
    <cellStyle name="20% - Accent6 3" xfId="983" xr:uid="{00000000-0005-0000-0000-0000CD030000}"/>
    <cellStyle name="40% - Accent1 2" xfId="984" xr:uid="{00000000-0005-0000-0000-0000CE030000}"/>
    <cellStyle name="40% - Accent1 2 2" xfId="985" xr:uid="{00000000-0005-0000-0000-0000CF030000}"/>
    <cellStyle name="40% - Accent1 3" xfId="986" xr:uid="{00000000-0005-0000-0000-0000D0030000}"/>
    <cellStyle name="40% - Accent2 2" xfId="987" xr:uid="{00000000-0005-0000-0000-0000D1030000}"/>
    <cellStyle name="40% - Accent2 2 2" xfId="988" xr:uid="{00000000-0005-0000-0000-0000D2030000}"/>
    <cellStyle name="40% - Accent2 3" xfId="989" xr:uid="{00000000-0005-0000-0000-0000D3030000}"/>
    <cellStyle name="40% - Accent3 2" xfId="990" xr:uid="{00000000-0005-0000-0000-0000D4030000}"/>
    <cellStyle name="40% - Accent3 2 2" xfId="991" xr:uid="{00000000-0005-0000-0000-0000D5030000}"/>
    <cellStyle name="40% - Accent3 3" xfId="992" xr:uid="{00000000-0005-0000-0000-0000D6030000}"/>
    <cellStyle name="40% - Accent4 2" xfId="993" xr:uid="{00000000-0005-0000-0000-0000D7030000}"/>
    <cellStyle name="40% - Accent4 2 2" xfId="994" xr:uid="{00000000-0005-0000-0000-0000D8030000}"/>
    <cellStyle name="40% - Accent4 3" xfId="995" xr:uid="{00000000-0005-0000-0000-0000D9030000}"/>
    <cellStyle name="40% - Accent5 2" xfId="996" xr:uid="{00000000-0005-0000-0000-0000DA030000}"/>
    <cellStyle name="40% - Accent5 2 2" xfId="997" xr:uid="{00000000-0005-0000-0000-0000DB030000}"/>
    <cellStyle name="40% - Accent5 3" xfId="998" xr:uid="{00000000-0005-0000-0000-0000DC030000}"/>
    <cellStyle name="40% - Accent6 2" xfId="999" xr:uid="{00000000-0005-0000-0000-0000DD030000}"/>
    <cellStyle name="40% - Accent6 2 2" xfId="1000" xr:uid="{00000000-0005-0000-0000-0000DE030000}"/>
    <cellStyle name="40% - Accent6 3" xfId="1001" xr:uid="{00000000-0005-0000-0000-0000DF030000}"/>
    <cellStyle name="60% - Accent1 2" xfId="1002" xr:uid="{00000000-0005-0000-0000-0000E0030000}"/>
    <cellStyle name="60% - Accent1 2 2" xfId="1003" xr:uid="{00000000-0005-0000-0000-0000E1030000}"/>
    <cellStyle name="60% - Accent2 2" xfId="1004" xr:uid="{00000000-0005-0000-0000-0000E2030000}"/>
    <cellStyle name="60% - Accent2 2 2" xfId="1005" xr:uid="{00000000-0005-0000-0000-0000E3030000}"/>
    <cellStyle name="60% - Accent3 2" xfId="1006" xr:uid="{00000000-0005-0000-0000-0000E4030000}"/>
    <cellStyle name="60% - Accent3 2 2" xfId="1007" xr:uid="{00000000-0005-0000-0000-0000E5030000}"/>
    <cellStyle name="60% - Accent4 2" xfId="1008" xr:uid="{00000000-0005-0000-0000-0000E6030000}"/>
    <cellStyle name="60% - Accent4 2 2" xfId="1009" xr:uid="{00000000-0005-0000-0000-0000E7030000}"/>
    <cellStyle name="60% - Accent5 2" xfId="1010" xr:uid="{00000000-0005-0000-0000-0000E8030000}"/>
    <cellStyle name="60% - Accent5 2 2" xfId="1011" xr:uid="{00000000-0005-0000-0000-0000E9030000}"/>
    <cellStyle name="60% - Accent6 2" xfId="1012" xr:uid="{00000000-0005-0000-0000-0000EA030000}"/>
    <cellStyle name="60% - Accent6 2 2" xfId="1013" xr:uid="{00000000-0005-0000-0000-0000EB030000}"/>
    <cellStyle name="Accent1 2" xfId="1014" xr:uid="{00000000-0005-0000-0000-0000EC030000}"/>
    <cellStyle name="Accent1 2 2" xfId="1015" xr:uid="{00000000-0005-0000-0000-0000ED030000}"/>
    <cellStyle name="Accent2 2" xfId="1016" xr:uid="{00000000-0005-0000-0000-0000EE030000}"/>
    <cellStyle name="Accent2 2 2" xfId="1017" xr:uid="{00000000-0005-0000-0000-0000EF030000}"/>
    <cellStyle name="Accent3 2" xfId="1018" xr:uid="{00000000-0005-0000-0000-0000F0030000}"/>
    <cellStyle name="Accent3 2 2" xfId="1019" xr:uid="{00000000-0005-0000-0000-0000F1030000}"/>
    <cellStyle name="Accent4 2" xfId="1020" xr:uid="{00000000-0005-0000-0000-0000F2030000}"/>
    <cellStyle name="Accent4 2 2" xfId="1021" xr:uid="{00000000-0005-0000-0000-0000F3030000}"/>
    <cellStyle name="Accent5 2" xfId="1022" xr:uid="{00000000-0005-0000-0000-0000F4030000}"/>
    <cellStyle name="Accent5 2 2" xfId="1023" xr:uid="{00000000-0005-0000-0000-0000F5030000}"/>
    <cellStyle name="Accent6 2" xfId="1024" xr:uid="{00000000-0005-0000-0000-0000F6030000}"/>
    <cellStyle name="Accent6 2 2" xfId="1025" xr:uid="{00000000-0005-0000-0000-0000F7030000}"/>
    <cellStyle name="Bad 2" xfId="1026" xr:uid="{00000000-0005-0000-0000-0000F8030000}"/>
    <cellStyle name="Bad 2 2" xfId="1027" xr:uid="{00000000-0005-0000-0000-0000F9030000}"/>
    <cellStyle name="Calc Currency (0)" xfId="1028" xr:uid="{00000000-0005-0000-0000-0000FA030000}"/>
    <cellStyle name="Calculation 2" xfId="1029" xr:uid="{00000000-0005-0000-0000-0000FB030000}"/>
    <cellStyle name="Calculation 2 2" xfId="1030" xr:uid="{00000000-0005-0000-0000-0000FC030000}"/>
    <cellStyle name="Check Cell 2" xfId="1031" xr:uid="{00000000-0005-0000-0000-0000FD030000}"/>
    <cellStyle name="Check Cell 2 2" xfId="1032" xr:uid="{00000000-0005-0000-0000-0000FE030000}"/>
    <cellStyle name="CheckCell" xfId="1033" xr:uid="{00000000-0005-0000-0000-0000FF030000}"/>
    <cellStyle name="Comma" xfId="1" builtinId="3"/>
    <cellStyle name="Comma 10" xfId="1034" xr:uid="{00000000-0005-0000-0000-000001040000}"/>
    <cellStyle name="Comma 11" xfId="1035" xr:uid="{00000000-0005-0000-0000-000002040000}"/>
    <cellStyle name="Comma 12" xfId="1036" xr:uid="{00000000-0005-0000-0000-000003040000}"/>
    <cellStyle name="Comma 13" xfId="1037" xr:uid="{00000000-0005-0000-0000-000004040000}"/>
    <cellStyle name="Comma 14" xfId="1038" xr:uid="{00000000-0005-0000-0000-000005040000}"/>
    <cellStyle name="Comma 16" xfId="1039" xr:uid="{00000000-0005-0000-0000-000006040000}"/>
    <cellStyle name="Comma 17" xfId="1040" xr:uid="{00000000-0005-0000-0000-000007040000}"/>
    <cellStyle name="Comma 2 2" xfId="1041" xr:uid="{00000000-0005-0000-0000-000008040000}"/>
    <cellStyle name="Comma 3" xfId="1042" xr:uid="{00000000-0005-0000-0000-000009040000}"/>
    <cellStyle name="Comma 4" xfId="1043" xr:uid="{00000000-0005-0000-0000-00000A040000}"/>
    <cellStyle name="Comma 4 2" xfId="1044" xr:uid="{00000000-0005-0000-0000-00000B040000}"/>
    <cellStyle name="Comma 5" xfId="1045" xr:uid="{00000000-0005-0000-0000-00000C040000}"/>
    <cellStyle name="Comma 6" xfId="1046" xr:uid="{00000000-0005-0000-0000-00000D040000}"/>
    <cellStyle name="Comma 7" xfId="1047" xr:uid="{00000000-0005-0000-0000-00000E040000}"/>
    <cellStyle name="Comma 8" xfId="1048" xr:uid="{00000000-0005-0000-0000-00000F040000}"/>
    <cellStyle name="Comma 9" xfId="1049" xr:uid="{00000000-0005-0000-0000-000010040000}"/>
    <cellStyle name="Comma0" xfId="1050" xr:uid="{00000000-0005-0000-0000-000011040000}"/>
    <cellStyle name="Comma0 - Style2" xfId="1051" xr:uid="{00000000-0005-0000-0000-000012040000}"/>
    <cellStyle name="Comma0 - Style4" xfId="1052" xr:uid="{00000000-0005-0000-0000-000013040000}"/>
    <cellStyle name="Comma0 - Style5" xfId="1053" xr:uid="{00000000-0005-0000-0000-000014040000}"/>
    <cellStyle name="Comma0 2" xfId="1054" xr:uid="{00000000-0005-0000-0000-000015040000}"/>
    <cellStyle name="Comma0 3" xfId="1055" xr:uid="{00000000-0005-0000-0000-000016040000}"/>
    <cellStyle name="Comma0 4" xfId="1056" xr:uid="{00000000-0005-0000-0000-000017040000}"/>
    <cellStyle name="Comma0_00COS Ind Allocators" xfId="1057" xr:uid="{00000000-0005-0000-0000-000018040000}"/>
    <cellStyle name="Comma1 - Style1" xfId="1058" xr:uid="{00000000-0005-0000-0000-000019040000}"/>
    <cellStyle name="Copied" xfId="1059" xr:uid="{00000000-0005-0000-0000-00001A040000}"/>
    <cellStyle name="COST1" xfId="1060" xr:uid="{00000000-0005-0000-0000-00001B040000}"/>
    <cellStyle name="Curren - Style1" xfId="1061" xr:uid="{00000000-0005-0000-0000-00001C040000}"/>
    <cellStyle name="Curren - Style2" xfId="1062" xr:uid="{00000000-0005-0000-0000-00001D040000}"/>
    <cellStyle name="Curren - Style5" xfId="1063" xr:uid="{00000000-0005-0000-0000-00001E040000}"/>
    <cellStyle name="Curren - Style6" xfId="1064" xr:uid="{00000000-0005-0000-0000-00001F040000}"/>
    <cellStyle name="Currency" xfId="1252" builtinId="4"/>
    <cellStyle name="Currency 10" xfId="1065" xr:uid="{00000000-0005-0000-0000-000021040000}"/>
    <cellStyle name="Currency 11" xfId="1066" xr:uid="{00000000-0005-0000-0000-000022040000}"/>
    <cellStyle name="Currency 2 2" xfId="1067" xr:uid="{00000000-0005-0000-0000-000023040000}"/>
    <cellStyle name="Currency 3" xfId="1068" xr:uid="{00000000-0005-0000-0000-000024040000}"/>
    <cellStyle name="Currency 4" xfId="1069" xr:uid="{00000000-0005-0000-0000-000025040000}"/>
    <cellStyle name="Currency 4 2" xfId="1070" xr:uid="{00000000-0005-0000-0000-000026040000}"/>
    <cellStyle name="Currency 4_DEM-WP(C) Costs Not In AURORA 2010GRC As Filed" xfId="1071" xr:uid="{00000000-0005-0000-0000-000027040000}"/>
    <cellStyle name="Currency 5" xfId="1072" xr:uid="{00000000-0005-0000-0000-000028040000}"/>
    <cellStyle name="Currency 6" xfId="1073" xr:uid="{00000000-0005-0000-0000-000029040000}"/>
    <cellStyle name="Currency 7" xfId="1074" xr:uid="{00000000-0005-0000-0000-00002A040000}"/>
    <cellStyle name="Currency 8" xfId="1075" xr:uid="{00000000-0005-0000-0000-00002B040000}"/>
    <cellStyle name="Currency 9" xfId="1076" xr:uid="{00000000-0005-0000-0000-00002C040000}"/>
    <cellStyle name="Currency0" xfId="1077" xr:uid="{00000000-0005-0000-0000-00002D040000}"/>
    <cellStyle name="Date" xfId="1078" xr:uid="{00000000-0005-0000-0000-00002E040000}"/>
    <cellStyle name="Date 2" xfId="1079" xr:uid="{00000000-0005-0000-0000-00002F040000}"/>
    <cellStyle name="Date 3" xfId="1080" xr:uid="{00000000-0005-0000-0000-000030040000}"/>
    <cellStyle name="Date 4" xfId="1081" xr:uid="{00000000-0005-0000-0000-000031040000}"/>
    <cellStyle name="Entered" xfId="1082" xr:uid="{00000000-0005-0000-0000-000032040000}"/>
    <cellStyle name="Euro" xfId="1083" xr:uid="{00000000-0005-0000-0000-000033040000}"/>
    <cellStyle name="Explanatory Text 2" xfId="1084" xr:uid="{00000000-0005-0000-0000-000034040000}"/>
    <cellStyle name="Explanatory Text 2 2" xfId="1085" xr:uid="{00000000-0005-0000-0000-000035040000}"/>
    <cellStyle name="Fixed" xfId="1086" xr:uid="{00000000-0005-0000-0000-000036040000}"/>
    <cellStyle name="Fixed3 - Style3" xfId="1087" xr:uid="{00000000-0005-0000-0000-000037040000}"/>
    <cellStyle name="Good 2" xfId="1088" xr:uid="{00000000-0005-0000-0000-000038040000}"/>
    <cellStyle name="Good 2 2" xfId="1089" xr:uid="{00000000-0005-0000-0000-000039040000}"/>
    <cellStyle name="Grey" xfId="1090" xr:uid="{00000000-0005-0000-0000-00003A040000}"/>
    <cellStyle name="Grey 2" xfId="1091" xr:uid="{00000000-0005-0000-0000-00003B040000}"/>
    <cellStyle name="Grey 3" xfId="1092" xr:uid="{00000000-0005-0000-0000-00003C040000}"/>
    <cellStyle name="Grey 4" xfId="1093" xr:uid="{00000000-0005-0000-0000-00003D040000}"/>
    <cellStyle name="Grey_(C) WHE Proforma with ITC cash grant 10 Yr Amort_for deferral_102809" xfId="1094" xr:uid="{00000000-0005-0000-0000-00003E040000}"/>
    <cellStyle name="Header1" xfId="1095" xr:uid="{00000000-0005-0000-0000-00003F040000}"/>
    <cellStyle name="Header2" xfId="1096" xr:uid="{00000000-0005-0000-0000-000040040000}"/>
    <cellStyle name="Heading 1 2" xfId="1097" xr:uid="{00000000-0005-0000-0000-000041040000}"/>
    <cellStyle name="Heading 1 2 2" xfId="1098" xr:uid="{00000000-0005-0000-0000-000042040000}"/>
    <cellStyle name="Heading 2 2" xfId="1099" xr:uid="{00000000-0005-0000-0000-000043040000}"/>
    <cellStyle name="Heading 2 2 2" xfId="1100" xr:uid="{00000000-0005-0000-0000-000044040000}"/>
    <cellStyle name="Heading 3 2" xfId="1101" xr:uid="{00000000-0005-0000-0000-000045040000}"/>
    <cellStyle name="Heading 3 2 2" xfId="1102" xr:uid="{00000000-0005-0000-0000-000046040000}"/>
    <cellStyle name="Heading 4 2" xfId="1103" xr:uid="{00000000-0005-0000-0000-000047040000}"/>
    <cellStyle name="Heading 4 2 2" xfId="1104" xr:uid="{00000000-0005-0000-0000-000048040000}"/>
    <cellStyle name="Heading1" xfId="1105" xr:uid="{00000000-0005-0000-0000-000049040000}"/>
    <cellStyle name="Heading2" xfId="1106" xr:uid="{00000000-0005-0000-0000-00004A040000}"/>
    <cellStyle name="Input [yellow]" xfId="1107" xr:uid="{00000000-0005-0000-0000-00004B040000}"/>
    <cellStyle name="Input [yellow] 2" xfId="1108" xr:uid="{00000000-0005-0000-0000-00004C040000}"/>
    <cellStyle name="Input [yellow] 3" xfId="1109" xr:uid="{00000000-0005-0000-0000-00004D040000}"/>
    <cellStyle name="Input [yellow] 4" xfId="1110" xr:uid="{00000000-0005-0000-0000-00004E040000}"/>
    <cellStyle name="Input [yellow]_(C) WHE Proforma with ITC cash grant 10 Yr Amort_for deferral_102809" xfId="1111" xr:uid="{00000000-0005-0000-0000-00004F040000}"/>
    <cellStyle name="Input 2" xfId="1112" xr:uid="{00000000-0005-0000-0000-000050040000}"/>
    <cellStyle name="Input 2 2" xfId="1113" xr:uid="{00000000-0005-0000-0000-000051040000}"/>
    <cellStyle name="Input Cells" xfId="1114" xr:uid="{00000000-0005-0000-0000-000052040000}"/>
    <cellStyle name="Input Cells Percent" xfId="1115" xr:uid="{00000000-0005-0000-0000-000053040000}"/>
    <cellStyle name="Input Cells_4.34E Mint Farm Deferral" xfId="1116" xr:uid="{00000000-0005-0000-0000-000054040000}"/>
    <cellStyle name="Lines" xfId="1117" xr:uid="{00000000-0005-0000-0000-000055040000}"/>
    <cellStyle name="LINKED" xfId="1118" xr:uid="{00000000-0005-0000-0000-000056040000}"/>
    <cellStyle name="Linked Cell 2" xfId="1119" xr:uid="{00000000-0005-0000-0000-000057040000}"/>
    <cellStyle name="Linked Cell 2 2" xfId="1120" xr:uid="{00000000-0005-0000-0000-000058040000}"/>
    <cellStyle name="modified border" xfId="1121" xr:uid="{00000000-0005-0000-0000-000059040000}"/>
    <cellStyle name="modified border 2" xfId="1122" xr:uid="{00000000-0005-0000-0000-00005A040000}"/>
    <cellStyle name="modified border 3" xfId="1123" xr:uid="{00000000-0005-0000-0000-00005B040000}"/>
    <cellStyle name="modified border 4" xfId="1124" xr:uid="{00000000-0005-0000-0000-00005C040000}"/>
    <cellStyle name="modified border_4.34E Mint Farm Deferral" xfId="1125" xr:uid="{00000000-0005-0000-0000-00005D040000}"/>
    <cellStyle name="modified border1" xfId="1126" xr:uid="{00000000-0005-0000-0000-00005E040000}"/>
    <cellStyle name="modified border1 2" xfId="1127" xr:uid="{00000000-0005-0000-0000-00005F040000}"/>
    <cellStyle name="modified border1 3" xfId="1128" xr:uid="{00000000-0005-0000-0000-000060040000}"/>
    <cellStyle name="modified border1 4" xfId="1129" xr:uid="{00000000-0005-0000-0000-000061040000}"/>
    <cellStyle name="modified border1_4.34E Mint Farm Deferral" xfId="1130" xr:uid="{00000000-0005-0000-0000-000062040000}"/>
    <cellStyle name="Neutral 2" xfId="1131" xr:uid="{00000000-0005-0000-0000-000063040000}"/>
    <cellStyle name="Neutral 2 2" xfId="1132" xr:uid="{00000000-0005-0000-0000-000064040000}"/>
    <cellStyle name="no dec" xfId="1133" xr:uid="{00000000-0005-0000-0000-000065040000}"/>
    <cellStyle name="Normal" xfId="0" builtinId="0"/>
    <cellStyle name="Normal - Style1" xfId="1134" xr:uid="{00000000-0005-0000-0000-000067040000}"/>
    <cellStyle name="Normal - Style1 2" xfId="1135" xr:uid="{00000000-0005-0000-0000-000068040000}"/>
    <cellStyle name="Normal - Style1 2 2 3 4" xfId="1254" xr:uid="{7ED1EA45-AEB6-44FB-ABE8-7AC653BB9611}"/>
    <cellStyle name="Normal - Style1 3" xfId="1136" xr:uid="{00000000-0005-0000-0000-000069040000}"/>
    <cellStyle name="Normal - Style1 4" xfId="1137" xr:uid="{00000000-0005-0000-0000-00006A040000}"/>
    <cellStyle name="Normal - Style1_(C) WHE Proforma with ITC cash grant 10 Yr Amort_for deferral_102809" xfId="1138" xr:uid="{00000000-0005-0000-0000-00006B040000}"/>
    <cellStyle name="Normal 1" xfId="1139" xr:uid="{00000000-0005-0000-0000-00006C040000}"/>
    <cellStyle name="Normal 10" xfId="1140" xr:uid="{00000000-0005-0000-0000-00006D040000}"/>
    <cellStyle name="Normal 10 2" xfId="1141" xr:uid="{00000000-0005-0000-0000-00006E040000}"/>
    <cellStyle name="Normal 10 3" xfId="1142" xr:uid="{00000000-0005-0000-0000-00006F040000}"/>
    <cellStyle name="Normal 10_04.07E Wild Horse Wind Expansion" xfId="1143" xr:uid="{00000000-0005-0000-0000-000070040000}"/>
    <cellStyle name="Normal 11" xfId="1144" xr:uid="{00000000-0005-0000-0000-000071040000}"/>
    <cellStyle name="Normal 12" xfId="1145" xr:uid="{00000000-0005-0000-0000-000072040000}"/>
    <cellStyle name="Normal 13" xfId="1146" xr:uid="{00000000-0005-0000-0000-000073040000}"/>
    <cellStyle name="Normal 14" xfId="1147" xr:uid="{00000000-0005-0000-0000-000074040000}"/>
    <cellStyle name="Normal 15" xfId="1148" xr:uid="{00000000-0005-0000-0000-000075040000}"/>
    <cellStyle name="Normal 16" xfId="1149" xr:uid="{00000000-0005-0000-0000-000076040000}"/>
    <cellStyle name="Normal 17" xfId="1150" xr:uid="{00000000-0005-0000-0000-000077040000}"/>
    <cellStyle name="Normal 18" xfId="1151" xr:uid="{00000000-0005-0000-0000-000078040000}"/>
    <cellStyle name="Normal 19" xfId="1152" xr:uid="{00000000-0005-0000-0000-000079040000}"/>
    <cellStyle name="Normal 2" xfId="2" xr:uid="{00000000-0005-0000-0000-00007A040000}"/>
    <cellStyle name="Normal 2 2" xfId="3" xr:uid="{00000000-0005-0000-0000-00007B040000}"/>
    <cellStyle name="Normal 2 2 2" xfId="1153" xr:uid="{00000000-0005-0000-0000-00007C040000}"/>
    <cellStyle name="Normal 2 2 3" xfId="1154" xr:uid="{00000000-0005-0000-0000-00007D040000}"/>
    <cellStyle name="Normal 2 2 4" xfId="1253" xr:uid="{A63E4F73-A5AF-4C8A-92A8-D74828316D10}"/>
    <cellStyle name="Normal 2 2_NIM Summary" xfId="1155" xr:uid="{00000000-0005-0000-0000-00007E040000}"/>
    <cellStyle name="Normal 2 3" xfId="1156" xr:uid="{00000000-0005-0000-0000-00007F040000}"/>
    <cellStyle name="Normal 2 4" xfId="1157" xr:uid="{00000000-0005-0000-0000-000080040000}"/>
    <cellStyle name="Normal 2 5" xfId="1158" xr:uid="{00000000-0005-0000-0000-000081040000}"/>
    <cellStyle name="Normal 2 6" xfId="1159" xr:uid="{00000000-0005-0000-0000-000082040000}"/>
    <cellStyle name="Normal 20" xfId="1160" xr:uid="{00000000-0005-0000-0000-000083040000}"/>
    <cellStyle name="Normal 21" xfId="1161" xr:uid="{00000000-0005-0000-0000-000084040000}"/>
    <cellStyle name="Normal 22" xfId="1162" xr:uid="{00000000-0005-0000-0000-000085040000}"/>
    <cellStyle name="Normal 23" xfId="1163" xr:uid="{00000000-0005-0000-0000-000086040000}"/>
    <cellStyle name="Normal 24" xfId="1164" xr:uid="{00000000-0005-0000-0000-000087040000}"/>
    <cellStyle name="Normal 25" xfId="1165" xr:uid="{00000000-0005-0000-0000-000088040000}"/>
    <cellStyle name="Normal 26" xfId="1166" xr:uid="{00000000-0005-0000-0000-000089040000}"/>
    <cellStyle name="Normal 27" xfId="1167" xr:uid="{00000000-0005-0000-0000-00008A040000}"/>
    <cellStyle name="Normal 28" xfId="1168" xr:uid="{00000000-0005-0000-0000-00008B040000}"/>
    <cellStyle name="Normal 3" xfId="4" xr:uid="{00000000-0005-0000-0000-00008C040000}"/>
    <cellStyle name="Normal 3 2" xfId="1169" xr:uid="{00000000-0005-0000-0000-00008D040000}"/>
    <cellStyle name="Normal 3 3" xfId="1170" xr:uid="{00000000-0005-0000-0000-00008E040000}"/>
    <cellStyle name="Normal 3_2009 GRC Compl Filing - Exhibit D" xfId="1171" xr:uid="{00000000-0005-0000-0000-00008F040000}"/>
    <cellStyle name="Normal 4" xfId="1172" xr:uid="{00000000-0005-0000-0000-000090040000}"/>
    <cellStyle name="Normal 4 2" xfId="1173" xr:uid="{00000000-0005-0000-0000-000091040000}"/>
    <cellStyle name="Normal 4_DEM-WP(C) Costs Not In AURORA 2010GRC As Filed" xfId="1174" xr:uid="{00000000-0005-0000-0000-000092040000}"/>
    <cellStyle name="Normal 5" xfId="1175" xr:uid="{00000000-0005-0000-0000-000093040000}"/>
    <cellStyle name="Normal 6" xfId="1176" xr:uid="{00000000-0005-0000-0000-000094040000}"/>
    <cellStyle name="Normal 7" xfId="1177" xr:uid="{00000000-0005-0000-0000-000095040000}"/>
    <cellStyle name="Normal 8" xfId="1178" xr:uid="{00000000-0005-0000-0000-000096040000}"/>
    <cellStyle name="Normal 9" xfId="1179" xr:uid="{00000000-0005-0000-0000-000097040000}"/>
    <cellStyle name="Note 2" xfId="1180" xr:uid="{00000000-0005-0000-0000-000098040000}"/>
    <cellStyle name="Note 2 2" xfId="1181" xr:uid="{00000000-0005-0000-0000-000099040000}"/>
    <cellStyle name="Note 3" xfId="1182" xr:uid="{00000000-0005-0000-0000-00009A040000}"/>
    <cellStyle name="Note 4" xfId="1183" xr:uid="{00000000-0005-0000-0000-00009B040000}"/>
    <cellStyle name="Note 5" xfId="1184" xr:uid="{00000000-0005-0000-0000-00009C040000}"/>
    <cellStyle name="Note 6" xfId="1185" xr:uid="{00000000-0005-0000-0000-00009D040000}"/>
    <cellStyle name="Note 7" xfId="1186" xr:uid="{00000000-0005-0000-0000-00009E040000}"/>
    <cellStyle name="Note 8" xfId="1187" xr:uid="{00000000-0005-0000-0000-00009F040000}"/>
    <cellStyle name="Note 9" xfId="1188" xr:uid="{00000000-0005-0000-0000-0000A0040000}"/>
    <cellStyle name="Output 2" xfId="1189" xr:uid="{00000000-0005-0000-0000-0000A1040000}"/>
    <cellStyle name="Output 2 2" xfId="1190" xr:uid="{00000000-0005-0000-0000-0000A2040000}"/>
    <cellStyle name="Percen - Style1" xfId="1191" xr:uid="{00000000-0005-0000-0000-0000A3040000}"/>
    <cellStyle name="Percen - Style2" xfId="1192" xr:uid="{00000000-0005-0000-0000-0000A4040000}"/>
    <cellStyle name="Percen - Style3" xfId="1193" xr:uid="{00000000-0005-0000-0000-0000A5040000}"/>
    <cellStyle name="Percent" xfId="1251" builtinId="5"/>
    <cellStyle name="Percent [2]" xfId="1194" xr:uid="{00000000-0005-0000-0000-0000A7040000}"/>
    <cellStyle name="Percent 2 2" xfId="1195" xr:uid="{00000000-0005-0000-0000-0000A8040000}"/>
    <cellStyle name="Percent 3" xfId="1196" xr:uid="{00000000-0005-0000-0000-0000A9040000}"/>
    <cellStyle name="Percent 4" xfId="1197" xr:uid="{00000000-0005-0000-0000-0000AA040000}"/>
    <cellStyle name="Percent 4 2" xfId="1198" xr:uid="{00000000-0005-0000-0000-0000AB040000}"/>
    <cellStyle name="Percent 5" xfId="1199" xr:uid="{00000000-0005-0000-0000-0000AC040000}"/>
    <cellStyle name="Percent 6" xfId="1200" xr:uid="{00000000-0005-0000-0000-0000AD040000}"/>
    <cellStyle name="Percent 7" xfId="1201" xr:uid="{00000000-0005-0000-0000-0000AE040000}"/>
    <cellStyle name="Processing" xfId="1202" xr:uid="{00000000-0005-0000-0000-0000AF040000}"/>
    <cellStyle name="PSChar" xfId="1203" xr:uid="{00000000-0005-0000-0000-0000B0040000}"/>
    <cellStyle name="PSDate" xfId="1204" xr:uid="{00000000-0005-0000-0000-0000B1040000}"/>
    <cellStyle name="PSDec" xfId="1205" xr:uid="{00000000-0005-0000-0000-0000B2040000}"/>
    <cellStyle name="PSHeading" xfId="1206" xr:uid="{00000000-0005-0000-0000-0000B3040000}"/>
    <cellStyle name="PSInt" xfId="1207" xr:uid="{00000000-0005-0000-0000-0000B4040000}"/>
    <cellStyle name="PSSpacer" xfId="1208" xr:uid="{00000000-0005-0000-0000-0000B5040000}"/>
    <cellStyle name="purple - Style8" xfId="1209" xr:uid="{00000000-0005-0000-0000-0000B6040000}"/>
    <cellStyle name="RED" xfId="1210" xr:uid="{00000000-0005-0000-0000-0000B7040000}"/>
    <cellStyle name="Red - Style7" xfId="1211" xr:uid="{00000000-0005-0000-0000-0000B8040000}"/>
    <cellStyle name="RED_04 07E Wild Horse Wind Expansion (C) (2)" xfId="1212" xr:uid="{00000000-0005-0000-0000-0000B9040000}"/>
    <cellStyle name="Report" xfId="1213" xr:uid="{00000000-0005-0000-0000-0000BA040000}"/>
    <cellStyle name="Report Bar" xfId="1214" xr:uid="{00000000-0005-0000-0000-0000BB040000}"/>
    <cellStyle name="Report Heading" xfId="1215" xr:uid="{00000000-0005-0000-0000-0000BC040000}"/>
    <cellStyle name="Report Percent" xfId="1216" xr:uid="{00000000-0005-0000-0000-0000BD040000}"/>
    <cellStyle name="Report Unit Cost" xfId="1217" xr:uid="{00000000-0005-0000-0000-0000BE040000}"/>
    <cellStyle name="Report_Adj Bench DR 3 for Initial Briefs (Electric)" xfId="1218" xr:uid="{00000000-0005-0000-0000-0000BF040000}"/>
    <cellStyle name="Reports" xfId="1219" xr:uid="{00000000-0005-0000-0000-0000C0040000}"/>
    <cellStyle name="Reports Total" xfId="1220" xr:uid="{00000000-0005-0000-0000-0000C1040000}"/>
    <cellStyle name="Reports Unit Cost Total" xfId="1221" xr:uid="{00000000-0005-0000-0000-0000C2040000}"/>
    <cellStyle name="Reports_16.37E Wild Horse Expansion DeferralRevwrkingfile SF" xfId="1222" xr:uid="{00000000-0005-0000-0000-0000C3040000}"/>
    <cellStyle name="RevList" xfId="1223" xr:uid="{00000000-0005-0000-0000-0000C4040000}"/>
    <cellStyle name="round100" xfId="1224" xr:uid="{00000000-0005-0000-0000-0000C5040000}"/>
    <cellStyle name="SAPBEXaggData" xfId="5" xr:uid="{00000000-0005-0000-0000-0000C6040000}"/>
    <cellStyle name="SAPBEXaggItem" xfId="6" xr:uid="{00000000-0005-0000-0000-0000C7040000}"/>
    <cellStyle name="SAPBEXchaText" xfId="7" xr:uid="{00000000-0005-0000-0000-0000C8040000}"/>
    <cellStyle name="SAPBEXstdData" xfId="8" xr:uid="{00000000-0005-0000-0000-0000C9040000}"/>
    <cellStyle name="SAPBEXstdItem" xfId="9" xr:uid="{00000000-0005-0000-0000-0000CA040000}"/>
    <cellStyle name="shade" xfId="1225" xr:uid="{00000000-0005-0000-0000-0000CB040000}"/>
    <cellStyle name="StmtTtl1" xfId="1226" xr:uid="{00000000-0005-0000-0000-0000CC040000}"/>
    <cellStyle name="StmtTtl1 2" xfId="1227" xr:uid="{00000000-0005-0000-0000-0000CD040000}"/>
    <cellStyle name="StmtTtl1 3" xfId="1228" xr:uid="{00000000-0005-0000-0000-0000CE040000}"/>
    <cellStyle name="StmtTtl1 4" xfId="1229" xr:uid="{00000000-0005-0000-0000-0000CF040000}"/>
    <cellStyle name="StmtTtl1_(C) WHE Proforma with ITC cash grant 10 Yr Amort_for deferral_102809" xfId="1230" xr:uid="{00000000-0005-0000-0000-0000D0040000}"/>
    <cellStyle name="StmtTtl2" xfId="1231" xr:uid="{00000000-0005-0000-0000-0000D1040000}"/>
    <cellStyle name="STYL1 - Style1" xfId="1232" xr:uid="{00000000-0005-0000-0000-0000D2040000}"/>
    <cellStyle name="Style 1" xfId="1233" xr:uid="{00000000-0005-0000-0000-0000D3040000}"/>
    <cellStyle name="Style 1 2" xfId="1234" xr:uid="{00000000-0005-0000-0000-0000D4040000}"/>
    <cellStyle name="Style 1 3" xfId="1235" xr:uid="{00000000-0005-0000-0000-0000D5040000}"/>
    <cellStyle name="Style 1 4" xfId="1236" xr:uid="{00000000-0005-0000-0000-0000D6040000}"/>
    <cellStyle name="Style 1 5" xfId="1237" xr:uid="{00000000-0005-0000-0000-0000D7040000}"/>
    <cellStyle name="Style 1_04.07E Wild Horse Wind Expansion" xfId="1238" xr:uid="{00000000-0005-0000-0000-0000D8040000}"/>
    <cellStyle name="Subtotal" xfId="1239" xr:uid="{00000000-0005-0000-0000-0000D9040000}"/>
    <cellStyle name="Sub-total" xfId="1240" xr:uid="{00000000-0005-0000-0000-0000DA040000}"/>
    <cellStyle name="Title 2" xfId="1241" xr:uid="{00000000-0005-0000-0000-0000DB040000}"/>
    <cellStyle name="Title 2 2" xfId="1242" xr:uid="{00000000-0005-0000-0000-0000DC040000}"/>
    <cellStyle name="Title: Major" xfId="1243" xr:uid="{00000000-0005-0000-0000-0000DD040000}"/>
    <cellStyle name="Title: Minor" xfId="1244" xr:uid="{00000000-0005-0000-0000-0000DE040000}"/>
    <cellStyle name="Title: Worksheet" xfId="1245" xr:uid="{00000000-0005-0000-0000-0000DF040000}"/>
    <cellStyle name="Total 2" xfId="1246" xr:uid="{00000000-0005-0000-0000-0000E0040000}"/>
    <cellStyle name="Total 2 2" xfId="1247" xr:uid="{00000000-0005-0000-0000-0000E1040000}"/>
    <cellStyle name="Total4 - Style4" xfId="1248" xr:uid="{00000000-0005-0000-0000-0000E2040000}"/>
    <cellStyle name="Warning Text 2" xfId="1249" xr:uid="{00000000-0005-0000-0000-0000E3040000}"/>
    <cellStyle name="Warning Text 2 2" xfId="1250" xr:uid="{00000000-0005-0000-0000-0000E4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onnections" Target="connections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3</xdr:row>
      <xdr:rowOff>23812</xdr:rowOff>
    </xdr:from>
    <xdr:to>
      <xdr:col>11</xdr:col>
      <xdr:colOff>762000</xdr:colOff>
      <xdr:row>4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802063" y="726281"/>
          <a:ext cx="7115968" cy="26193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607218</xdr:colOff>
      <xdr:row>39</xdr:row>
      <xdr:rowOff>190499</xdr:rowOff>
    </xdr:from>
    <xdr:to>
      <xdr:col>6</xdr:col>
      <xdr:colOff>209549</xdr:colOff>
      <xdr:row>41</xdr:row>
      <xdr:rowOff>30955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A7464E-9F28-404E-A497-13139A1860AB}"/>
            </a:ext>
          </a:extLst>
        </xdr:cNvPr>
        <xdr:cNvSpPr txBox="1"/>
      </xdr:nvSpPr>
      <xdr:spPr>
        <a:xfrm>
          <a:off x="6262687" y="822721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130969</xdr:colOff>
      <xdr:row>5</xdr:row>
      <xdr:rowOff>178594</xdr:rowOff>
    </xdr:from>
    <xdr:to>
      <xdr:col>6</xdr:col>
      <xdr:colOff>411956</xdr:colOff>
      <xdr:row>5</xdr:row>
      <xdr:rowOff>435769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3AB88A-0FDE-4CCB-8469-A7743F884BBE}"/>
            </a:ext>
          </a:extLst>
        </xdr:cNvPr>
        <xdr:cNvSpPr txBox="1"/>
      </xdr:nvSpPr>
      <xdr:spPr>
        <a:xfrm>
          <a:off x="6465094" y="132159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107156</xdr:colOff>
      <xdr:row>0</xdr:row>
      <xdr:rowOff>154780</xdr:rowOff>
    </xdr:from>
    <xdr:to>
      <xdr:col>13</xdr:col>
      <xdr:colOff>583405</xdr:colOff>
      <xdr:row>2</xdr:row>
      <xdr:rowOff>202406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798094" y="154780"/>
          <a:ext cx="5060155" cy="48815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500062</xdr:colOff>
      <xdr:row>10</xdr:row>
      <xdr:rowOff>11906</xdr:rowOff>
    </xdr:from>
    <xdr:to>
      <xdr:col>7</xdr:col>
      <xdr:colOff>340518</xdr:colOff>
      <xdr:row>11</xdr:row>
      <xdr:rowOff>78581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365D42-51F2-45CE-9B19-B5985BA7A524}"/>
            </a:ext>
          </a:extLst>
        </xdr:cNvPr>
        <xdr:cNvSpPr txBox="1"/>
      </xdr:nvSpPr>
      <xdr:spPr>
        <a:xfrm>
          <a:off x="4691062" y="246459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523875</xdr:colOff>
      <xdr:row>22</xdr:row>
      <xdr:rowOff>178594</xdr:rowOff>
    </xdr:from>
    <xdr:to>
      <xdr:col>7</xdr:col>
      <xdr:colOff>364331</xdr:colOff>
      <xdr:row>24</xdr:row>
      <xdr:rowOff>54769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50A31F-A518-4D58-B9AF-45AA018D418A}"/>
            </a:ext>
          </a:extLst>
        </xdr:cNvPr>
        <xdr:cNvSpPr txBox="1"/>
      </xdr:nvSpPr>
      <xdr:spPr>
        <a:xfrm>
          <a:off x="4714875" y="5345907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412748</xdr:colOff>
      <xdr:row>0</xdr:row>
      <xdr:rowOff>158749</xdr:rowOff>
    </xdr:from>
    <xdr:to>
      <xdr:col>13</xdr:col>
      <xdr:colOff>607218</xdr:colOff>
      <xdr:row>2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591717" y="158749"/>
          <a:ext cx="5302251" cy="472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357187</xdr:colOff>
      <xdr:row>10</xdr:row>
      <xdr:rowOff>23812</xdr:rowOff>
    </xdr:from>
    <xdr:to>
      <xdr:col>8</xdr:col>
      <xdr:colOff>233362</xdr:colOff>
      <xdr:row>11</xdr:row>
      <xdr:rowOff>90487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5D373E-DF24-41EE-AB19-EC99958F480A}"/>
            </a:ext>
          </a:extLst>
        </xdr:cNvPr>
        <xdr:cNvSpPr txBox="1"/>
      </xdr:nvSpPr>
      <xdr:spPr>
        <a:xfrm>
          <a:off x="5095875" y="2476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297656</xdr:colOff>
      <xdr:row>23</xdr:row>
      <xdr:rowOff>107156</xdr:rowOff>
    </xdr:from>
    <xdr:to>
      <xdr:col>8</xdr:col>
      <xdr:colOff>173831</xdr:colOff>
      <xdr:row>24</xdr:row>
      <xdr:rowOff>173831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2DA6E7-990E-433D-B9C5-FE02707793F5}"/>
            </a:ext>
          </a:extLst>
        </xdr:cNvPr>
        <xdr:cNvSpPr txBox="1"/>
      </xdr:nvSpPr>
      <xdr:spPr>
        <a:xfrm>
          <a:off x="5036344" y="546496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341312</xdr:colOff>
      <xdr:row>3</xdr:row>
      <xdr:rowOff>158749</xdr:rowOff>
    </xdr:from>
    <xdr:to>
      <xdr:col>13</xdr:col>
      <xdr:colOff>420687</xdr:colOff>
      <xdr:row>5</xdr:row>
      <xdr:rowOff>71437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5135562" y="865187"/>
          <a:ext cx="6453188" cy="29368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533400</xdr:colOff>
      <xdr:row>22</xdr:row>
      <xdr:rowOff>0</xdr:rowOff>
    </xdr:from>
    <xdr:to>
      <xdr:col>8</xdr:col>
      <xdr:colOff>228600</xdr:colOff>
      <xdr:row>23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1C8DF3-FB3E-4D9E-8977-4513C4CB2F3F}"/>
            </a:ext>
          </a:extLst>
        </xdr:cNvPr>
        <xdr:cNvSpPr txBox="1"/>
      </xdr:nvSpPr>
      <xdr:spPr>
        <a:xfrm>
          <a:off x="5934075" y="43529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rost, Daniela" refreshedDate="45175.429848842592" backgroundQuery="1" createdVersion="6" refreshedVersion="6" minRefreshableVersion="3" recordCount="0" supportSubquery="1" supportAdvancedDrill="1" xr:uid="{00000000-000A-0000-FFFF-FFFF09000000}">
  <cacheSource type="external" connectionId="1"/>
  <cacheFields count="9">
    <cacheField name="[Measures].[Price &amp; HeatRate]" caption="Price &amp; HeatRate" numFmtId="0" hierarchy="185" level="32767"/>
    <cacheField name="[Commodity].[Commodity].[Commodity]" caption="Commodity" numFmtId="0" level="1">
      <sharedItems containsSemiMixedTypes="0" containsString="0"/>
    </cacheField>
    <cacheField name="[Curve Date].[Curve Date].[Curve Date]" caption="Curve Date" numFmtId="0" hierarchy="1" level="1">
      <sharedItems count="62">
        <s v="[Curve Date].[Curve Date].&amp;[2023-09-05T00:00:00]" c="9/5/2023"/>
        <s v="[Curve Date].[Curve Date].&amp;[2023-09-01T00:00:00]" c="9/1/2023"/>
        <s v="[Curve Date].[Curve Date].&amp;[2023-08-31T00:00:00]" c="8/31/2023"/>
        <s v="[Curve Date].[Curve Date].&amp;[2023-08-30T00:00:00]" c="8/30/2023"/>
        <s v="[Curve Date].[Curve Date].&amp;[2023-08-29T00:00:00]" c="8/29/2023"/>
        <s v="[Curve Date].[Curve Date].&amp;[2023-08-28T00:00:00]" c="8/28/2023"/>
        <s v="[Curve Date].[Curve Date].&amp;[2023-08-25T00:00:00]" c="8/25/2023"/>
        <s v="[Curve Date].[Curve Date].&amp;[2023-08-24T00:00:00]" c="8/24/2023"/>
        <s v="[Curve Date].[Curve Date].&amp;[2023-08-23T00:00:00]" c="8/23/2023"/>
        <s v="[Curve Date].[Curve Date].&amp;[2023-08-22T00:00:00]" c="8/22/2023"/>
        <s v="[Curve Date].[Curve Date].&amp;[2023-08-21T00:00:00]" c="8/21/2023"/>
        <s v="[Curve Date].[Curve Date].&amp;[2023-08-18T00:00:00]" c="8/18/2023"/>
        <s v="[Curve Date].[Curve Date].&amp;[2023-08-17T00:00:00]" c="8/17/2023"/>
        <s v="[Curve Date].[Curve Date].&amp;[2023-08-16T00:00:00]" c="8/16/2023"/>
        <s v="[Curve Date].[Curve Date].&amp;[2023-08-15T00:00:00]" c="8/15/2023"/>
        <s v="[Curve Date].[Curve Date].&amp;[2023-08-14T00:00:00]" c="8/14/2023"/>
        <s v="[Curve Date].[Curve Date].&amp;[2023-08-11T00:00:00]" c="8/11/2023"/>
        <s v="[Curve Date].[Curve Date].&amp;[2023-08-10T00:00:00]" c="8/10/2023"/>
        <s v="[Curve Date].[Curve Date].&amp;[2023-08-09T00:00:00]" c="8/9/2023"/>
        <s v="[Curve Date].[Curve Date].&amp;[2023-08-08T00:00:00]" c="8/8/2023"/>
        <s v="[Curve Date].[Curve Date].&amp;[2023-08-07T00:00:00]" c="8/7/2023"/>
        <s v="[Curve Date].[Curve Date].&amp;[2023-08-04T00:00:00]" c="8/4/2023"/>
        <s v="[Curve Date].[Curve Date].&amp;[2023-08-03T00:00:00]" c="8/3/2023"/>
        <s v="[Curve Date].[Curve Date].&amp;[2023-08-02T00:00:00]" c="8/2/2023"/>
        <s v="[Curve Date].[Curve Date].&amp;[2023-08-01T00:00:00]" c="8/1/2023"/>
        <s v="[Curve Date].[Curve Date].&amp;[2023-07-31T00:00:00]" c="7/31/2023"/>
        <s v="[Curve Date].[Curve Date].&amp;[2023-07-28T00:00:00]" c="7/28/2023"/>
        <s v="[Curve Date].[Curve Date].&amp;[2023-07-27T00:00:00]" c="7/27/2023"/>
        <s v="[Curve Date].[Curve Date].&amp;[2023-07-26T00:00:00]" c="7/26/2023"/>
        <s v="[Curve Date].[Curve Date].&amp;[2023-07-25T00:00:00]" c="7/25/2023"/>
        <s v="[Curve Date].[Curve Date].&amp;[2023-07-24T00:00:00]" c="7/24/2023"/>
        <s v="[Curve Date].[Curve Date].&amp;[2023-07-21T00:00:00]" c="7/21/2023"/>
        <s v="[Curve Date].[Curve Date].&amp;[2023-07-20T00:00:00]" c="7/20/2023"/>
        <s v="[Curve Date].[Curve Date].&amp;[2023-07-19T00:00:00]" c="7/19/2023"/>
        <s v="[Curve Date].[Curve Date].&amp;[2023-07-18T00:00:00]" c="7/18/2023"/>
        <s v="[Curve Date].[Curve Date].&amp;[2023-07-17T00:00:00]" c="7/17/2023"/>
        <s v="[Curve Date].[Curve Date].&amp;[2023-07-14T00:00:00]" c="7/14/2023"/>
        <s v="[Curve Date].[Curve Date].&amp;[2023-07-13T00:00:00]" c="7/13/2023"/>
        <s v="[Curve Date].[Curve Date].&amp;[2023-07-12T00:00:00]" c="7/12/2023"/>
        <s v="[Curve Date].[Curve Date].&amp;[2023-07-11T00:00:00]" c="7/11/2023"/>
        <s v="[Curve Date].[Curve Date].&amp;[2023-07-10T00:00:00]" c="7/10/2023"/>
        <s v="[Curve Date].[Curve Date].&amp;[2023-07-07T00:00:00]" c="7/7/2023"/>
        <s v="[Curve Date].[Curve Date].&amp;[2023-07-06T00:00:00]" c="7/6/2023"/>
        <s v="[Curve Date].[Curve Date].&amp;[2023-07-05T00:00:00]" c="7/5/2023"/>
        <s v="[Curve Date].[Curve Date].&amp;[2023-07-03T00:00:00]" c="7/3/2023"/>
        <s v="[Curve Date].[Curve Date].&amp;[2023-06-30T00:00:00]" c="6/30/2023"/>
        <s v="[Curve Date].[Curve Date].&amp;[2023-06-29T00:00:00]" c="6/29/2023"/>
        <s v="[Curve Date].[Curve Date].&amp;[2023-06-28T00:00:00]" c="6/28/2023"/>
        <s v="[Curve Date].[Curve Date].&amp;[2023-06-27T00:00:00]" c="6/27/2023"/>
        <s v="[Curve Date].[Curve Date].&amp;[2023-06-26T00:00:00]" c="6/26/2023"/>
        <s v="[Curve Date].[Curve Date].&amp;[2023-06-23T00:00:00]" c="6/23/2023"/>
        <s v="[Curve Date].[Curve Date].&amp;[2023-06-22T00:00:00]" c="6/22/2023"/>
        <s v="[Curve Date].[Curve Date].&amp;[2023-06-21T00:00:00]" c="6/21/2023"/>
        <s v="[Curve Date].[Curve Date].&amp;[2023-06-20T00:00:00]" c="6/20/2023"/>
        <s v="[Curve Date].[Curve Date].&amp;[2023-06-16T00:00:00]" c="6/16/2023"/>
        <s v="[Curve Date].[Curve Date].&amp;[2023-06-15T00:00:00]" c="6/15/2023"/>
        <s v="[Curve Date].[Curve Date].&amp;[2023-06-14T00:00:00]" c="6/14/2023"/>
        <s v="[Curve Date].[Curve Date].&amp;[2023-06-13T00:00:00]" c="6/13/2023"/>
        <s v="[Curve Date].[Curve Date].&amp;[2023-06-12T00:00:00]" c="6/12/2023"/>
        <s v="[Curve Date].[Curve Date].&amp;[2023-06-09T00:00:00]" c="6/9/2023"/>
        <s v="[Curve Date].[Curve Date].&amp;[2023-06-08T00:00:00]" c="6/8/2023"/>
        <s v="[Curve Date].[Curve Date].&amp;[2023-06-07T00:00:00]" c="6/7/2023"/>
      </sharedItems>
    </cacheField>
    <cacheField name="[Delivery Date].[Month].[Month]" caption="Month" numFmtId="0" hierarchy="12" level="1">
      <sharedItems count="12">
        <s v="[Delivery Date].[Month].&amp;[2024/Jan]" c="2024/Jan"/>
        <s v="[Delivery Date].[Month].&amp;[2024/Feb]" c="2024/Feb"/>
        <s v="[Delivery Date].[Month].&amp;[2024/Mar]" c="2024/Mar"/>
        <s v="[Delivery Date].[Month].&amp;[2024/Apr]" c="2024/Apr"/>
        <s v="[Delivery Date].[Month].&amp;[2024/May]" c="2024/May"/>
        <s v="[Delivery Date].[Month].&amp;[2024/Jun]" c="2024/Jun"/>
        <s v="[Delivery Date].[Month].&amp;[2024/Jul]" c="2024/Jul"/>
        <s v="[Delivery Date].[Month].&amp;[2024/Aug]" c="2024/Aug"/>
        <s v="[Delivery Date].[Month].&amp;[2024/Sep]" c="2024/Sep"/>
        <s v="[Delivery Date].[Month].&amp;[2024/Oct]" c="2024/Oct"/>
        <s v="[Delivery Date].[Month].&amp;[2024/Nov]" c="2024/Nov"/>
        <s v="[Delivery Date].[Month].&amp;[2024/Dec]" c="2024/Dec"/>
      </sharedItems>
    </cacheField>
    <cacheField name="[Delivery Region].[DeliveryRegion].[DeliveryRegion]" caption="DeliveryRegion" numFmtId="0" hierarchy="18" level="1">
      <sharedItems count="10">
        <s v="[Delivery Region].[DeliveryRegion].&amp;[Sumas]" c="Sumas"/>
        <s v="[Delivery Region].[DeliveryRegion].&amp;[Rockies]" c="Rockies"/>
        <s v="[Delivery Region].[DeliveryRegion].&amp;[AECO]" c="AECO"/>
        <s v="[Delivery Region].[DeliveryRegion].&amp;[San Juan]" c="San Juan"/>
        <s v="[Delivery Region].[DeliveryRegion].&amp;[Nymex (HH)]" c="Nymex (HH)"/>
        <s v="[Delivery Region].[DeliveryRegion].&amp;[Stanfield]" c="Stanfield"/>
        <s v="[Delivery Region].[DeliveryRegion].&amp;[Malin]" c="Malin"/>
        <s v="[Delivery Region].[DeliveryRegion].&amp;[PG&amp;E]" c="PG&amp;E"/>
        <s v="[Delivery Region].[DeliveryRegion].&amp;[SoCal]" c="SoCal"/>
        <s v="[Delivery Region].[DeliveryRegion].&amp;[Station2]" c="Station2"/>
      </sharedItems>
    </cacheField>
    <cacheField name="[Demand Profile].[Demand Profile].[Demand Profile]" caption="Demand Profile" numFmtId="0" hierarchy="19" level="1">
      <sharedItems containsSemiMixedTypes="0" containsString="0"/>
    </cacheField>
    <cacheField name="[Price Source].[Price Source Name].[Price Source Name]" caption="Price Source Name" numFmtId="0" hierarchy="20" level="1">
      <sharedItems containsSemiMixedTypes="0" containsString="0"/>
    </cacheField>
    <cacheField name="[Price Type].[Price Type Name].[Price Type Name]" caption="Price Type Name" numFmtId="0" hierarchy="21" level="1">
      <sharedItems containsSemiMixedTypes="0" containsString="0"/>
    </cacheField>
    <cacheField name="[Delivery Date].[Year].[Year]" caption="Year" numFmtId="0" hierarchy="17" level="1">
      <sharedItems count="3">
        <s v="[Delivery Date].[Year].&amp;[2023]" c="2023"/>
        <s v="[Delivery Date].[Year].&amp;[2024]" c="2024"/>
        <s v="[Delivery Date].[Year].&amp;[2025]" c="2025"/>
      </sharedItems>
    </cacheField>
  </cacheFields>
  <cacheHierarchies count="254">
    <cacheHierarchy uniqueName="[Commodity].[Commodity]" caption="Commodity" attribute="1" defaultMemberUniqueName="[Commodity].[Commodity].[All]" allUniqueName="[Commodity].[Commodity].[All]" dimensionUniqueName="[Commodity]" displayFolder="" count="2" unbalanced="0">
      <fieldsUsage count="2">
        <fieldUsage x="-1"/>
        <fieldUsage x="1"/>
      </fieldsUsage>
    </cacheHierarchy>
    <cacheHierarchy uniqueName="[Curve Date].[Curve Date]" caption="Curve Date" attribute="1" defaultMemberUniqueName="[Curve Date].[Curve Date].[All]" allUniqueName="[Curve Date].[Curve Date].[All]" dimensionUniqueName="[Curve Date]" displayFolder="" count="2" unbalanced="0">
      <fieldsUsage count="2">
        <fieldUsage x="-1"/>
        <fieldUsage x="2"/>
      </fieldsUsage>
    </cacheHierarchy>
    <cacheHierarchy uniqueName="[Curve Date].[Curve Date (Asc)]" caption="Curve Date (Asc)" attribute="1" defaultMemberUniqueName="[Curve Date].[Curve Date (Asc)].[All]" allUniqueName="[Curve Date].[Curve Date (Asc)].[All]" dimensionUniqueName="[Curve Date]" displayFolder="" count="0" unbalanced="0"/>
    <cacheHierarchy uniqueName="[Curve Date].[Curve Month]" caption="Curve Month" attribute="1" defaultMemberUniqueName="[Curve Date].[Curve Month].[All]" allUniqueName="[Curve Date].[Curve Month].[All]" dimensionUniqueName="[Curve Date]" displayFolder="" count="0" unbalanced="0"/>
    <cacheHierarchy uniqueName="[Curve Date].[Curve Month (Asc)]" caption="Curve Month (Asc)" attribute="1" defaultMemberUniqueName="[Curve Date].[Curve Month (Asc)].[All]" allUniqueName="[Curve Date].[Curve Month (Asc)].[All]" dimensionUniqueName="[Curve Date]" displayFolder="" count="0" unbalanced="0"/>
    <cacheHierarchy uniqueName="[Curve Date].[Curve Quarter]" caption="Curve Quarter" attribute="1" defaultMemberUniqueName="[Curve Date].[Curve Quarter].[All]" allUniqueName="[Curve Date].[Curve Quarter].[All]" dimensionUniqueName="[Curve Date]" displayFolder="" count="0" unbalanced="0"/>
    <cacheHierarchy uniqueName="[Curve Date].[Curve Year]" caption="Curve Year" attribute="1" defaultMemberUniqueName="[Curve Date].[Curve Year].[All]" allUniqueName="[Curve Date].[Curve Year].[All]" dimensionUniqueName="[Curve Date]" displayFolder="" count="0" unbalanced="0"/>
    <cacheHierarchy uniqueName="[Curve Date].[Latest Curve Date]" caption="Latest Curve Date" attribute="1" defaultMemberUniqueName="[Curve Date].[Latest Curve Date].[All]" allUniqueName="[Curve Date].[Latest Curve Date].[All]" dimensionUniqueName="[Curve Date]" displayFolder="" count="0" unbalanced="0"/>
    <cacheHierarchy uniqueName="[Curve Date Filter].[Curve Date Filter]" caption="Curve Date Filter" attribute="1" defaultMemberUniqueName="[Curve Date Filter].[Curve Date Filter].[All]" allUniqueName="[Curve Date Filter].[Curve Date Filter].[All]" dimensionUniqueName="[Curve Date Filter]" displayFolder="" count="0" unbalanced="0"/>
    <cacheHierarchy uniqueName="[Delivery Date].[Delivery Date]" caption="Delivery Date" attribute="1" defaultMemberUniqueName="[Delivery Date].[Delivery Date].[All]" allUniqueName="[Delivery Date].[Delivery Date].[All]" dimensionUniqueName="[Delivery Date]" displayFolder="" count="0" unbalanced="0"/>
    <cacheHierarchy uniqueName="[Delivery Date].[Delivery Date (Desc)]" caption="Delivery Date (Desc)" attribute="1" defaultMemberUniqueName="[Delivery Date].[Delivery Date (Desc)].[All]" allUniqueName="[Delivery Date].[Delivery Date (Desc)].[All]" dimensionUniqueName="[Delivery Date]" displayFolder="" count="0" unbalanced="0"/>
    <cacheHierarchy uniqueName="[Delivery Date].[Latest Delivery Date]" caption="Latest Delivery Date" attribute="1" defaultMemberUniqueName="[Delivery Date].[Latest Delivery Date].[All]" allUniqueName="[Delivery Date].[Latest Delivery Date].[All]" dimensionUniqueName="[Delivery Date]" displayFolder="" count="0" unbalanced="0"/>
    <cacheHierarchy uniqueName="[Delivery Date].[Month]" caption="Month" attribute="1" defaultMemberUniqueName="[Delivery Date].[Month].[All]" allUniqueName="[Delivery Date].[Month].[All]" dimensionUniqueName="[Delivery Date]" displayFolder="" count="2" unbalanced="0">
      <fieldsUsage count="2">
        <fieldUsage x="-1"/>
        <fieldUsage x="3"/>
      </fieldsUsage>
    </cacheHierarchy>
    <cacheHierarchy uniqueName="[Delivery Date].[Month (Desc)]" caption="Month (Desc)" attribute="1" defaultMemberUniqueName="[Delivery Date].[Month (Desc)].[All]" allUniqueName="[Delivery Date].[Month (Desc)].[All]" dimensionUniqueName="[Delivery Date]" displayFolder="" count="0" unbalanced="0"/>
    <cacheHierarchy uniqueName="[Delivery Date].[Quarter]" caption="Quarter" attribute="1" defaultMemberUniqueName="[Delivery Date].[Quarter].[All]" allUniqueName="[Delivery Date].[Quarter].[All]" dimensionUniqueName="[Delivery Date]" displayFolder="" count="0" unbalanced="0"/>
    <cacheHierarchy uniqueName="[Delivery Date].[Season Filter]" caption="Season Filter" attribute="1" defaultMemberUniqueName="[Delivery Date].[Season Filter].[All]" allUniqueName="[Delivery Date].[Season Filter].[All]" dimensionUniqueName="[Delivery Date]" displayFolder="" count="0" unbalanced="0"/>
    <cacheHierarchy uniqueName="[Delivery Date].[Season Filter (Desc)]" caption="Season Filter (Desc)" attribute="1" defaultMemberUniqueName="[Delivery Date].[Season Filter (Desc)].[All]" allUniqueName="[Delivery Date].[Season Filter (Desc)].[All]" dimensionUniqueName="[Delivery Date]" displayFolder="" count="0" unbalanced="0"/>
    <cacheHierarchy uniqueName="[Delivery Date].[Year]" caption="Year" attribute="1" defaultMemberUniqueName="[Delivery Date].[Year].[All]" allUniqueName="[Delivery Date].[Year].[All]" dimensionUniqueName="[Delivery Date]" displayFolder="" count="2" unbalanced="0">
      <fieldsUsage count="2">
        <fieldUsage x="-1"/>
        <fieldUsage x="8"/>
      </fieldsUsage>
    </cacheHierarchy>
    <cacheHierarchy uniqueName="[Delivery Region].[DeliveryRegion]" caption="DeliveryRegion" attribute="1" defaultMemberUniqueName="[Delivery Region].[DeliveryRegion].[All]" allUniqueName="[Delivery Region].[DeliveryRegion].[All]" dimensionUniqueName="[Delivery Region]" displayFolder="" count="2" unbalanced="0">
      <fieldsUsage count="2">
        <fieldUsage x="-1"/>
        <fieldUsage x="4"/>
      </fieldsUsage>
    </cacheHierarchy>
    <cacheHierarchy uniqueName="[Demand Profile].[Demand Profile]" caption="Demand Profile" attribute="1" defaultMemberUniqueName="[Demand Profile].[Demand Profile].[All]" allUniqueName="[Demand Profile].[Demand Profile].[All]" dimensionUniqueName="[Demand Profile]" displayFolder="" count="2" unbalanced="0">
      <fieldsUsage count="2">
        <fieldUsage x="-1"/>
        <fieldUsage x="5"/>
      </fieldsUsage>
    </cacheHierarchy>
    <cacheHierarchy uniqueName="[Price Source].[Price Source Name]" caption="Price Source Name" attribute="1" defaultMemberUniqueName="[Price Source].[Price Source Name].[All]" allUniqueName="[Price Source].[Price Source Name].[All]" dimensionUniqueName="[Price Source]" displayFolder="" count="2" unbalanced="0">
      <fieldsUsage count="2">
        <fieldUsage x="-1"/>
        <fieldUsage x="6"/>
      </fieldsUsage>
    </cacheHierarchy>
    <cacheHierarchy uniqueName="[Price Type].[Price Type Name]" caption="Price Type Name" attribute="1" defaultMemberUniqueName="[Price Type].[Price Type Name].[All]" allUniqueName="[Price Type].[Price Type Name].[All]" dimensionUniqueName="[Price Type]" displayFolder="" count="2" unbalanced="0">
      <fieldsUsage count="2">
        <fieldUsage x="-1"/>
        <fieldUsage x="7"/>
      </fieldsUsage>
    </cacheHierarchy>
    <cacheHierarchy uniqueName="[Relative Curve Dates].[Relative Curve Dates]" caption="Relative Curve Dates" attribute="1" defaultMemberUniqueName="[Relative Curve Dates].[Relative Curve Dates].[All]" allUniqueName="[Relative Curve Dates].[Relative Curve Dates].[All]" dimensionUniqueName="[Relative Curve Dates]" displayFolder="" count="0" unbalanced="0"/>
    <cacheHierarchy uniqueName="[Relative Delivery Dates].[Relative Delivery Dates]" caption="Relative Delivery Dates" attribute="1" defaultMemberUniqueName="[Relative Delivery Dates].[Relative Delivery Dates].[All]" allUniqueName="[Relative Delivery Dates].[Relative Delivery Dates].[All]" dimensionUniqueName="[Relative Delivery Dates]" displayFolder="" count="0" unbalanced="0"/>
    <cacheHierarchy uniqueName="[Commodity].[CommodityID]" caption="CommodityID" attribute="1" defaultMemberUniqueName="[Commodity].[CommodityID].[All]" allUniqueName="[Commodity].[CommodityID].[All]" dimensionUniqueName="[Commodity]" displayFolder="" count="0" unbalanced="0" hidden="1"/>
    <cacheHierarchy uniqueName="[Commodity].[CommoditySortID]" caption="CommoditySortID" attribute="1" defaultMemberUniqueName="[Commodity].[CommoditySortID].[All]" allUniqueName="[Commodity].[CommoditySortID].[All]" dimensionUniqueName="[Commodity]" displayFolder="" count="0" unbalanced="0" hidden="1"/>
    <cacheHierarchy uniqueName="[Curve Date].[Curve Date Sort]" caption="Curve Date Sort" attribute="1" defaultMemberUniqueName="[Curve Date].[Curve Date Sort].[All]" allUniqueName="[Curve Date].[Curve Date Sort].[All]" dimensionUniqueName="[Curve Date]" displayFolder="" count="0" unbalanced="0" hidden="1"/>
    <cacheHierarchy uniqueName="[Curve Date].[Curve Month Sort]" caption="Curve Month Sort" attribute="1" defaultMemberUniqueName="[Curve Date].[Curve Month Sort].[All]" allUniqueName="[Curve Date].[Curve Month Sort].[All]" dimensionUniqueName="[Curve Date]" displayFolder="" count="0" unbalanced="0" hidden="1"/>
    <cacheHierarchy uniqueName="[Curve Date].[DateKey]" caption="DateKey" attribute="1" defaultMemberUniqueName="[Curve Date].[DateKey].[All]" allUniqueName="[Curve Date].[DateKey].[All]" dimensionUniqueName="[Curve Date]" displayFolder="" count="0" unbalanced="0" hidden="1"/>
    <cacheHierarchy uniqueName="[Curve Date].[SeasonFlag]" caption="SeasonFlag" attribute="1" defaultMemberUniqueName="[Curve Date].[SeasonFlag].[All]" allUniqueName="[Curve Date].[SeasonFlag].[All]" dimensionUniqueName="[Curve Date]" displayFolder="" count="0" unbalanced="0" hidden="1"/>
    <cacheHierarchy uniqueName="[Curve Date].[Sort_Year]" caption="Sort_Year" attribute="1" defaultMemberUniqueName="[Curve Date].[Sort_Year].[All]" allUniqueName="[Curve Date].[Sort_Year].[All]" dimensionUniqueName="[Curve Date]" displayFolder="" count="0" unbalanced="0" hidden="1"/>
    <cacheHierarchy uniqueName="[Curve Date].[SortMonth(Desc)]" caption="SortMonth(Desc)" attribute="1" defaultMemberUniqueName="[Curve Date].[SortMonth(Desc)].[All]" allUniqueName="[Curve Date].[SortMonth(Desc)].[All]" dimensionUniqueName="[Curve Date]" displayFolder="" count="0" unbalanced="0" hidden="1"/>
    <cacheHierarchy uniqueName="[Curve Date].[Year Month Key]" caption="Year Month Key" attribute="1" defaultMemberUniqueName="[Curve Date].[Year Month Key].[All]" allUniqueName="[Curve Date].[Year Month Key].[All]" dimensionUniqueName="[Curve Date]" displayFolder="" count="0" unbalanced="0" hidden="1"/>
    <cacheHierarchy uniqueName="[Curve Date Filter].[120Days]" caption="120Days" attribute="1" defaultMemberUniqueName="[Curve Date Filter].[120Days].[All]" allUniqueName="[Curve Date Filter].[120Days].[All]" dimensionUniqueName="[Curve Date Filter]" displayFolder="" count="0" unbalanced="0" hidden="1"/>
    <cacheHierarchy uniqueName="[Curve Date Filter].[30Days]" caption="30Days" attribute="1" defaultMemberUniqueName="[Curve Date Filter].[30Days].[All]" allUniqueName="[Curve Date Filter].[30Days].[All]" dimensionUniqueName="[Curve Date Filter]" displayFolder="" count="0" unbalanced="0" hidden="1"/>
    <cacheHierarchy uniqueName="[Curve Date Filter].[60Days]" caption="60Days" attribute="1" defaultMemberUniqueName="[Curve Date Filter].[60Days].[All]" allUniqueName="[Curve Date Filter].[60Days].[All]" dimensionUniqueName="[Curve Date Filter]" displayFolder="" count="0" unbalanced="0" hidden="1"/>
    <cacheHierarchy uniqueName="[Curve Date Filter].[90Days]" caption="90Days" attribute="1" defaultMemberUniqueName="[Curve Date Filter].[90Days].[All]" allUniqueName="[Curve Date Filter].[90Days].[All]" dimensionUniqueName="[Curve Date Filter]" displayFolder="" count="0" unbalanced="0" hidden="1"/>
    <cacheHierarchy uniqueName="[Curve Date Filter].[Calendar Year]" caption="Calendar Year" attribute="1" defaultMemberUniqueName="[Curve Date Filter].[Calendar Year].[All]" allUniqueName="[Curve Date Filter].[Calendar Year].[All]" dimensionUniqueName="[Curve Date Filter]" displayFolder="" count="0" unbalanced="0" hidden="1"/>
    <cacheHierarchy uniqueName="[Curve Date Filter].[CalendarQuarter]" caption="CalendarQuarter" attribute="1" defaultMemberUniqueName="[Curve Date Filter].[CalendarQuarter].[All]" allUniqueName="[Curve Date Filter].[CalendarQuarter].[All]" dimensionUniqueName="[Curve Date Filter]" displayFolder="" count="0" unbalanced="0" hidden="1"/>
    <cacheHierarchy uniqueName="[Curve Date Filter].[DateFormat1]" caption="DateFormat1" attribute="1" defaultMemberUniqueName="[Curve Date Filter].[DateFormat1].[All]" allUniqueName="[Curve Date Filter].[DateFormat1].[All]" dimensionUniqueName="[Curve Date Filter]" displayFolder="" count="0" unbalanced="0" hidden="1"/>
    <cacheHierarchy uniqueName="[Curve Date Filter].[DateKey]" caption="DateKey" attribute="1" defaultMemberUniqueName="[Curve Date Filter].[DateKey].[All]" allUniqueName="[Curve Date Filter].[DateKey].[All]" dimensionUniqueName="[Curve Date Filter]" displayFolder="" count="0" unbalanced="0" hidden="1"/>
    <cacheHierarchy uniqueName="[Curve Date Filter].[Short Month]" caption="Short Month" attribute="1" defaultMemberUniqueName="[Curve Date Filter].[Short Month].[All]" allUniqueName="[Curve Date Filter].[Short Month].[All]" dimensionUniqueName="[Curve Date Filter]" displayFolder="" count="0" unbalanced="0" hidden="1"/>
    <cacheHierarchy uniqueName="[Delivery Date].[Calendar Quarter]" caption="Calendar Quarter" attribute="1" defaultMemberUniqueName="[Delivery Date].[Calendar Quarter].[All]" allUniqueName="[Delivery Date].[Calendar Quarter].[All]" dimensionUniqueName="[Delivery Date]" displayFolder="" count="0" unbalanced="0" hidden="1"/>
    <cacheHierarchy uniqueName="[Delivery Date].[DateKey]" caption="DateKey" attribute="1" defaultMemberUniqueName="[Delivery Date].[DateKey].[All]" allUniqueName="[Delivery Date].[DateKey].[All]" dimensionUniqueName="[Delivery Date]" displayFolder="" count="0" unbalanced="0" hidden="1"/>
    <cacheHierarchy uniqueName="[Delivery Date].[Short Month]" caption="Short Month" attribute="1" defaultMemberUniqueName="[Delivery Date].[Short Month].[All]" allUniqueName="[Delivery Date].[Short Month].[All]" dimensionUniqueName="[Delivery Date]" displayFolder="" count="0" unbalanced="0" hidden="1"/>
    <cacheHierarchy uniqueName="[Delivery Date].[Sort_Date(Desc)]" caption="Sort_Date(Desc)" attribute="1" defaultMemberUniqueName="[Delivery Date].[Sort_Date(Desc)].[All]" allUniqueName="[Delivery Date].[Sort_Date(Desc)].[All]" dimensionUniqueName="[Delivery Date]" displayFolder="" count="0" unbalanced="0" hidden="1"/>
    <cacheHierarchy uniqueName="[Delivery Date].[Sort_Month]" caption="Sort_Month" attribute="1" defaultMemberUniqueName="[Delivery Date].[Sort_Month].[All]" allUniqueName="[Delivery Date].[Sort_Month].[All]" dimensionUniqueName="[Delivery Date]" displayFolder="" count="0" unbalanced="0" hidden="1"/>
    <cacheHierarchy uniqueName="[Delivery Date].[Sort_Month(Desc)]" caption="Sort_Month(Desc)" attribute="1" defaultMemberUniqueName="[Delivery Date].[Sort_Month(Desc)].[All]" allUniqueName="[Delivery Date].[Sort_Month(Desc)].[All]" dimensionUniqueName="[Delivery Date]" displayFolder="" count="0" unbalanced="0" hidden="1"/>
    <cacheHierarchy uniqueName="[Delivery Date].[Sort_RateYear]" caption="Sort_RateYear" attribute="1" defaultMemberUniqueName="[Delivery Date].[Sort_RateYear].[All]" allUniqueName="[Delivery Date].[Sort_RateYear].[All]" dimensionUniqueName="[Delivery Date]" displayFolder="" count="0" unbalanced="0" hidden="1"/>
    <cacheHierarchy uniqueName="[Delivery Date].[Sort_Season]" caption="Sort_Season" attribute="1" defaultMemberUniqueName="[Delivery Date].[Sort_Season].[All]" allUniqueName="[Delivery Date].[Sort_Season].[All]" dimensionUniqueName="[Delivery Date]" displayFolder="" count="0" unbalanced="0" hidden="1"/>
    <cacheHierarchy uniqueName="[Delivery Date].[Sort_Season(Desc)]" caption="Sort_Season(Desc)" attribute="1" defaultMemberUniqueName="[Delivery Date].[Sort_Season(Desc)].[All]" allUniqueName="[Delivery Date].[Sort_Season(Desc)].[All]" dimensionUniqueName="[Delivery Date]" displayFolder="" count="0" unbalanced="0" hidden="1"/>
    <cacheHierarchy uniqueName="[Delivery Date].[Year Month Key]" caption="Year Month Key" attribute="1" defaultMemberUniqueName="[Delivery Date].[Year Month Key].[All]" allUniqueName="[Delivery Date].[Year Month Key].[All]" dimensionUniqueName="[Delivery Date]" displayFolder="" count="0" unbalanced="0" hidden="1"/>
    <cacheHierarchy uniqueName="[Delivery Region].[DeliveryRegionAltName]" caption="DeliveryRegionAltName" attribute="1" defaultMemberUniqueName="[Delivery Region].[DeliveryRegionAltName].[All]" allUniqueName="[Delivery Region].[DeliveryRegionAltName].[All]" dimensionUniqueName="[Delivery Region]" displayFolder="" count="0" unbalanced="0" hidden="1"/>
    <cacheHierarchy uniqueName="[Delivery Region].[DeliveryRegionID]" caption="DeliveryRegionID" attribute="1" defaultMemberUniqueName="[Delivery Region].[DeliveryRegionID].[All]" allUniqueName="[Delivery Region].[DeliveryRegionID].[All]" dimensionUniqueName="[Delivery Region]" displayFolder="" count="0" unbalanced="0" hidden="1"/>
    <cacheHierarchy uniqueName="[Delivery Region].[DeliveryRegionSortID]" caption="DeliveryRegionSortID" attribute="1" defaultMemberUniqueName="[Delivery Region].[DeliveryRegionSortID].[All]" allUniqueName="[Delivery Region].[DeliveryRegionSortID].[All]" dimensionUniqueName="[Delivery Region]" displayFolder="" count="0" unbalanced="0" hidden="1"/>
    <cacheHierarchy uniqueName="[Demand Profile].[DemandProfileID]" caption="DemandProfileID" attribute="1" defaultMemberUniqueName="[Demand Profile].[DemandProfileID].[All]" allUniqueName="[Demand Profile].[DemandProfileID].[All]" dimensionUniqueName="[Demand Profile]" displayFolder="" count="0" unbalanced="0" hidden="1"/>
    <cacheHierarchy uniqueName="[Demand Profile].[DemandProfileSortID]" caption="DemandProfileSortID" attribute="1" defaultMemberUniqueName="[Demand Profile].[DemandProfileSortID].[All]" allUniqueName="[Demand Profile].[DemandProfileSortID].[All]" dimensionUniqueName="[Demand Profile]" displayFolder="" count="0" unbalanced="0" hidden="1"/>
    <cacheHierarchy uniqueName="[ICE_Power_Daily].[CommodityID]" caption="CommodityID" attribute="1" defaultMemberUniqueName="[ICE_Power_Daily].[CommodityID].[All]" allUniqueName="[ICE_Power_Daily].[CommodityID].[All]" dimensionUniqueName="[ICE_Power_Daily]" displayFolder="" count="0" unbalanced="0" hidden="1"/>
    <cacheHierarchy uniqueName="[ICE_Power_Daily].[CurveDate]" caption="CurveDate" attribute="1" defaultMemberUniqueName="[ICE_Power_Daily].[CurveDate].[All]" allUniqueName="[ICE_Power_Daily].[CurveDate].[All]" dimensionUniqueName="[ICE_Power_Daily]" displayFolder="" count="0" unbalanced="0" hidden="1"/>
    <cacheHierarchy uniqueName="[ICE_Power_Daily].[CurveDateKey]" caption="CurveDateKey" attribute="1" defaultMemberUniqueName="[ICE_Power_Daily].[CurveDateKey].[All]" allUniqueName="[ICE_Power_Daily].[CurveDateKey].[All]" dimensionUniqueName="[ICE_Power_Daily]" displayFolder="" count="0" unbalanced="0" hidden="1"/>
    <cacheHierarchy uniqueName="[ICE_Power_Daily].[DataSourceID]" caption="DataSourceID" attribute="1" defaultMemberUniqueName="[ICE_Power_Daily].[DataSourceID].[All]" allUniqueName="[ICE_Power_Daily].[DataSourceID].[All]" dimensionUniqueName="[ICE_Power_Daily]" displayFolder="" count="0" unbalanced="0" hidden="1"/>
    <cacheHierarchy uniqueName="[ICE_Power_Daily].[DeliveryDate]" caption="DeliveryDate" attribute="1" defaultMemberUniqueName="[ICE_Power_Daily].[DeliveryDate].[All]" allUniqueName="[ICE_Power_Daily].[DeliveryDate].[All]" dimensionUniqueName="[ICE_Power_Daily]" displayFolder="" count="0" unbalanced="0" hidden="1"/>
    <cacheHierarchy uniqueName="[ICE_Power_Daily].[DeliveryDateKey]" caption="DeliveryDateKey" attribute="1" defaultMemberUniqueName="[ICE_Power_Daily].[DeliveryDateKey].[All]" allUniqueName="[ICE_Power_Daily].[DeliveryDateKey].[All]" dimensionUniqueName="[ICE_Power_Daily]" displayFolder="" count="0" unbalanced="0" hidden="1"/>
    <cacheHierarchy uniqueName="[ICE_Power_Daily].[DeliveryRegion]" caption="DeliveryRegion" attribute="1" defaultMemberUniqueName="[ICE_Power_Daily].[DeliveryRegion].[All]" allUniqueName="[ICE_Power_Daily].[DeliveryRegion].[All]" dimensionUniqueName="[ICE_Power_Daily]" displayFolder="" count="0" unbalanced="0" hidden="1"/>
    <cacheHierarchy uniqueName="[ICE_Power_Daily].[DeliveryRegionID]" caption="DeliveryRegionID" attribute="1" defaultMemberUniqueName="[ICE_Power_Daily].[DeliveryRegionID].[All]" allUniqueName="[ICE_Power_Daily].[DeliveryRegionID].[All]" dimensionUniqueName="[ICE_Power_Daily]" displayFolder="" count="0" unbalanced="0" hidden="1"/>
    <cacheHierarchy uniqueName="[ICE_Power_Daily].[DemandProfile]" caption="DemandProfile" attribute="1" defaultMemberUniqueName="[ICE_Power_Daily].[DemandProfile].[All]" allUniqueName="[ICE_Power_Daily].[DemandProfile].[All]" dimensionUniqueName="[ICE_Power_Daily]" displayFolder="" count="0" unbalanced="0" hidden="1"/>
    <cacheHierarchy uniqueName="[ICE_Power_Daily].[DemandProfileID]" caption="DemandProfileID" attribute="1" defaultMemberUniqueName="[ICE_Power_Daily].[DemandProfileID].[All]" allUniqueName="[ICE_Power_Daily].[DemandProfileID].[All]" dimensionUniqueName="[ICE_Power_Daily]" displayFolder="" count="0" unbalanced="0" hidden="1"/>
    <cacheHierarchy uniqueName="[ICE_Power_Daily].[HeatRate]" caption="HeatRate" attribute="1" defaultMemberUniqueName="[ICE_Power_Daily].[HeatRate].[All]" allUniqueName="[ICE_Power_Daily].[HeatRate].[All]" dimensionUniqueName="[ICE_Power_Daily]" displayFolder="" count="0" unbalanced="0" hidden="1"/>
    <cacheHierarchy uniqueName="[ICE_Power_Daily].[hub]" caption="hub" attribute="1" defaultMemberUniqueName="[ICE_Power_Daily].[hub].[All]" allUniqueName="[ICE_Power_Daily].[hub].[All]" dimensionUniqueName="[ICE_Power_Daily]" displayFolder="" count="0" unbalanced="0" hidden="1"/>
    <cacheHierarchy uniqueName="[ICE_Power_Daily].[Prices]" caption="Prices" attribute="1" defaultMemberUniqueName="[ICE_Power_Daily].[Prices].[All]" allUniqueName="[ICE_Power_Daily].[Prices].[All]" dimensionUniqueName="[ICE_Power_Daily]" displayFolder="" count="0" unbalanced="0" hidden="1"/>
    <cacheHierarchy uniqueName="[ICE_Power_Daily].[PriceTypeID]" caption="PriceTypeID" attribute="1" defaultMemberUniqueName="[ICE_Power_Daily].[PriceTypeID].[All]" allUniqueName="[ICE_Power_Daily].[PriceTypeID].[All]" dimensionUniqueName="[ICE_Power_Daily]" displayFolder="" count="0" unbalanced="0" hidden="1"/>
    <cacheHierarchy uniqueName="[ICE_Power_Daily].[region]" caption="region" attribute="1" defaultMemberUniqueName="[ICE_Power_Daily].[region].[All]" allUniqueName="[ICE_Power_Daily].[region].[All]" dimensionUniqueName="[ICE_Power_Daily]" displayFolder="" count="0" unbalanced="0" hidden="1"/>
    <cacheHierarchy uniqueName="[Measure].[CommodityID]" caption="CommodityID" attribute="1" defaultMemberUniqueName="[Measure].[CommodityID].[All]" allUniqueName="[Measure].[CommodityID].[All]" dimensionUniqueName="[Measure]" displayFolder="" count="0" unbalanced="0" hidden="1"/>
    <cacheHierarchy uniqueName="[Measure].[CurvedDateKey]" caption="CurvedDateKey" attribute="1" defaultMemberUniqueName="[Measure].[CurvedDateKey].[All]" allUniqueName="[Measure].[CurvedDateKey].[All]" dimensionUniqueName="[Measure]" displayFolder="" count="0" unbalanced="0" hidden="1"/>
    <cacheHierarchy uniqueName="[Measure].[DataSourceID]" caption="DataSourceID" attribute="1" defaultMemberUniqueName="[Measure].[DataSourceID].[All]" allUniqueName="[Measure].[DataSourceID].[All]" dimensionUniqueName="[Measure]" displayFolder="" count="0" unbalanced="0" hidden="1"/>
    <cacheHierarchy uniqueName="[Measure].[DeliveryDateKey]" caption="DeliveryDateKey" attribute="1" defaultMemberUniqueName="[Measure].[DeliveryDateKey].[All]" allUniqueName="[Measure].[DeliveryDateKey].[All]" dimensionUniqueName="[Measure]" displayFolder="" count="0" unbalanced="0" hidden="1"/>
    <cacheHierarchy uniqueName="[Measure].[DeliveryRegionID]" caption="DeliveryRegionID" attribute="1" defaultMemberUniqueName="[Measure].[DeliveryRegionID].[All]" allUniqueName="[Measure].[DeliveryRegionID].[All]" dimensionUniqueName="[Measure]" displayFolder="" count="0" unbalanced="0" hidden="1"/>
    <cacheHierarchy uniqueName="[Measure].[DemandProfileID]" caption="DemandProfileID" attribute="1" defaultMemberUniqueName="[Measure].[DemandProfileID].[All]" allUniqueName="[Measure].[DemandProfileID].[All]" dimensionUniqueName="[Measure]" displayFolder="" count="0" unbalanced="0" hidden="1"/>
    <cacheHierarchy uniqueName="[Measure].[HeatRate]" caption="HeatRate" attribute="1" defaultMemberUniqueName="[Measure].[HeatRate].[All]" allUniqueName="[Measure].[HeatRate].[All]" dimensionUniqueName="[Measure]" displayFolder="" count="0" unbalanced="0" hidden="1"/>
    <cacheHierarchy uniqueName="[Measure].[PreviousCurveDateKey]" caption="PreviousCurveDateKey" attribute="1" defaultMemberUniqueName="[Measure].[PreviousCurveDateKey].[All]" allUniqueName="[Measure].[PreviousCurveDateKey].[All]" dimensionUniqueName="[Measure]" displayFolder="" count="0" unbalanced="0" hidden="1"/>
    <cacheHierarchy uniqueName="[Measure].[Prices]" caption="Prices" attribute="1" defaultMemberUniqueName="[Measure].[Prices].[All]" allUniqueName="[Measure].[Prices].[All]" dimensionUniqueName="[Measure]" displayFolder="" count="0" unbalanced="0" hidden="1"/>
    <cacheHierarchy uniqueName="[Measure].[PriceTypeID]" caption="PriceTypeID" attribute="1" defaultMemberUniqueName="[Measure].[PriceTypeID].[All]" allUniqueName="[Measure].[PriceTypeID].[All]" dimensionUniqueName="[Measure]" displayFolder="" count="0" unbalanced="0" hidden="1"/>
    <cacheHierarchy uniqueName="[Platts_Gas_Daily].[Attribute]" caption="Attribute" attribute="1" defaultMemberUniqueName="[Platts_Gas_Daily].[Attribute].[All]" allUniqueName="[Platts_Gas_Daily].[Attribute].[All]" dimensionUniqueName="[Platts_Gas_Daily]" displayFolder="" count="0" unbalanced="0" hidden="1"/>
    <cacheHierarchy uniqueName="[Platts_Gas_Daily].[CommodityID]" caption="CommodityID" attribute="1" defaultMemberUniqueName="[Platts_Gas_Daily].[CommodityID].[All]" allUniqueName="[Platts_Gas_Daily].[CommodityID].[All]" dimensionUniqueName="[Platts_Gas_Daily]" displayFolder="" count="0" unbalanced="0" hidden="1"/>
    <cacheHierarchy uniqueName="[Platts_Gas_Daily].[CurveDate]" caption="CurveDate" attribute="1" defaultMemberUniqueName="[Platts_Gas_Daily].[CurveDate].[All]" allUniqueName="[Platts_Gas_Daily].[CurveDate].[All]" dimensionUniqueName="[Platts_Gas_Daily]" displayFolder="" count="0" unbalanced="0" hidden="1"/>
    <cacheHierarchy uniqueName="[Platts_Gas_Daily].[CurveDateKey]" caption="CurveDateKey" attribute="1" defaultMemberUniqueName="[Platts_Gas_Daily].[CurveDateKey].[All]" allUniqueName="[Platts_Gas_Daily].[CurveDateKey].[All]" dimensionUniqueName="[Platts_Gas_Daily]" displayFolder="" count="0" unbalanced="0" hidden="1"/>
    <cacheHierarchy uniqueName="[Platts_Gas_Daily].[DataSourceID]" caption="DataSourceID" attribute="1" defaultMemberUniqueName="[Platts_Gas_Daily].[DataSourceID].[All]" allUniqueName="[Platts_Gas_Daily].[DataSourceID].[All]" dimensionUniqueName="[Platts_Gas_Daily]" displayFolder="" count="0" unbalanced="0" hidden="1"/>
    <cacheHierarchy uniqueName="[Platts_Gas_Daily].[DeliveryDate]" caption="DeliveryDate" attribute="1" defaultMemberUniqueName="[Platts_Gas_Daily].[DeliveryDate].[All]" allUniqueName="[Platts_Gas_Daily].[DeliveryDate].[All]" dimensionUniqueName="[Platts_Gas_Daily]" displayFolder="" count="0" unbalanced="0" hidden="1"/>
    <cacheHierarchy uniqueName="[Platts_Gas_Daily].[DeliveryDateKey]" caption="DeliveryDateKey" attribute="1" defaultMemberUniqueName="[Platts_Gas_Daily].[DeliveryDateKey].[All]" allUniqueName="[Platts_Gas_Daily].[DeliveryDateKey].[All]" dimensionUniqueName="[Platts_Gas_Daily]" displayFolder="" count="0" unbalanced="0" hidden="1"/>
    <cacheHierarchy uniqueName="[Platts_Gas_Daily].[DeliveryRegionID]" caption="DeliveryRegionID" attribute="1" defaultMemberUniqueName="[Platts_Gas_Daily].[DeliveryRegionID].[All]" allUniqueName="[Platts_Gas_Daily].[DeliveryRegionID].[All]" dimensionUniqueName="[Platts_Gas_Daily]" displayFolder="" count="0" unbalanced="0" hidden="1"/>
    <cacheHierarchy uniqueName="[Platts_Gas_Daily].[DemandProfileID]" caption="DemandProfileID" attribute="1" defaultMemberUniqueName="[Platts_Gas_Daily].[DemandProfileID].[All]" allUniqueName="[Platts_Gas_Daily].[DemandProfileID].[All]" dimensionUniqueName="[Platts_Gas_Daily]" displayFolder="" count="0" unbalanced="0" hidden="1"/>
    <cacheHierarchy uniqueName="[Platts_Gas_Daily].[HeatRate]" caption="HeatRate" attribute="1" defaultMemberUniqueName="[Platts_Gas_Daily].[HeatRate].[All]" allUniqueName="[Platts_Gas_Daily].[HeatRate].[All]" dimensionUniqueName="[Platts_Gas_Daily]" displayFolder="" count="0" unbalanced="0" hidden="1"/>
    <cacheHierarchy uniqueName="[Platts_Gas_Daily].[Prices]" caption="Prices" attribute="1" defaultMemberUniqueName="[Platts_Gas_Daily].[Prices].[All]" allUniqueName="[Platts_Gas_Daily].[Prices].[All]" dimensionUniqueName="[Platts_Gas_Daily]" displayFolder="" count="0" unbalanced="0" hidden="1"/>
    <cacheHierarchy uniqueName="[Platts_Gas_Daily].[PriceTypeID]" caption="PriceTypeID" attribute="1" defaultMemberUniqueName="[Platts_Gas_Daily].[PriceTypeID].[All]" allUniqueName="[Platts_Gas_Daily].[PriceTypeID].[All]" dimensionUniqueName="[Platts_Gas_Daily]" displayFolder="" count="0" unbalanced="0" hidden="1"/>
    <cacheHierarchy uniqueName="[Platts_Gas_Power_Months].[Attribute]" caption="Attribute" attribute="1" defaultMemberUniqueName="[Platts_Gas_Power_Months].[Attribute].[All]" allUniqueName="[Platts_Gas_Power_Months].[Attribute].[All]" dimensionUniqueName="[Platts_Gas_Power_Months]" displayFolder="" count="0" unbalanced="0" hidden="1"/>
    <cacheHierarchy uniqueName="[Platts_Gas_Power_Months].[Commodity]" caption="Commodity" attribute="1" defaultMemberUniqueName="[Platts_Gas_Power_Months].[Commodity].[All]" allUniqueName="[Platts_Gas_Power_Months].[Commodity].[All]" dimensionUniqueName="[Platts_Gas_Power_Months]" displayFolder="" count="0" unbalanced="0" hidden="1"/>
    <cacheHierarchy uniqueName="[Platts_Gas_Power_Months].[CommodityID]" caption="CommodityID" attribute="1" defaultMemberUniqueName="[Platts_Gas_Power_Months].[CommodityID].[All]" allUniqueName="[Platts_Gas_Power_Months].[CommodityID].[All]" dimensionUniqueName="[Platts_Gas_Power_Months]" displayFolder="" count="0" unbalanced="0" hidden="1"/>
    <cacheHierarchy uniqueName="[Platts_Gas_Power_Months].[CurveDate]" caption="CurveDate" attribute="1" defaultMemberUniqueName="[Platts_Gas_Power_Months].[CurveDate].[All]" allUniqueName="[Platts_Gas_Power_Months].[CurveDate].[All]" dimensionUniqueName="[Platts_Gas_Power_Months]" displayFolder="" count="0" unbalanced="0" hidden="1"/>
    <cacheHierarchy uniqueName="[Platts_Gas_Power_Months].[CurveDateKey]" caption="CurveDateKey" attribute="1" defaultMemberUniqueName="[Platts_Gas_Power_Months].[CurveDateKey].[All]" allUniqueName="[Platts_Gas_Power_Months].[CurveDateKey].[All]" dimensionUniqueName="[Platts_Gas_Power_Months]" displayFolder="" count="0" unbalanced="0" hidden="1"/>
    <cacheHierarchy uniqueName="[Platts_Gas_Power_Months].[Custom]" caption="Custom" attribute="1" defaultMemberUniqueName="[Platts_Gas_Power_Months].[Custom].[All]" allUniqueName="[Platts_Gas_Power_Months].[Custom].[All]" dimensionUniqueName="[Platts_Gas_Power_Months]" displayFolder="" count="0" unbalanced="0" hidden="1"/>
    <cacheHierarchy uniqueName="[Platts_Gas_Power_Months].[DataSourceID]" caption="DataSourceID" attribute="1" defaultMemberUniqueName="[Platts_Gas_Power_Months].[DataSourceID].[All]" allUniqueName="[Platts_Gas_Power_Months].[DataSourceID].[All]" dimensionUniqueName="[Platts_Gas_Power_Months]" displayFolder="" count="0" unbalanced="0" hidden="1"/>
    <cacheHierarchy uniqueName="[Platts_Gas_Power_Months].[DeliveryDate]" caption="DeliveryDate" attribute="1" defaultMemberUniqueName="[Platts_Gas_Power_Months].[DeliveryDate].[All]" allUniqueName="[Platts_Gas_Power_Months].[DeliveryDate].[All]" dimensionUniqueName="[Platts_Gas_Power_Months]" displayFolder="" count="0" unbalanced="0" hidden="1"/>
    <cacheHierarchy uniqueName="[Platts_Gas_Power_Months].[DeliveryDateKey]" caption="DeliveryDateKey" attribute="1" defaultMemberUniqueName="[Platts_Gas_Power_Months].[DeliveryDateKey].[All]" allUniqueName="[Platts_Gas_Power_Months].[DeliveryDateKey].[All]" dimensionUniqueName="[Platts_Gas_Power_Months]" displayFolder="" count="0" unbalanced="0" hidden="1"/>
    <cacheHierarchy uniqueName="[Platts_Gas_Power_Months].[DeliveryRegion]" caption="DeliveryRegion" attribute="1" defaultMemberUniqueName="[Platts_Gas_Power_Months].[DeliveryRegion].[All]" allUniqueName="[Platts_Gas_Power_Months].[DeliveryRegion].[All]" dimensionUniqueName="[Platts_Gas_Power_Months]" displayFolder="" count="0" unbalanced="0" hidden="1"/>
    <cacheHierarchy uniqueName="[Platts_Gas_Power_Months].[DeliveryRegionID]" caption="DeliveryRegionID" attribute="1" defaultMemberUniqueName="[Platts_Gas_Power_Months].[DeliveryRegionID].[All]" allUniqueName="[Platts_Gas_Power_Months].[DeliveryRegionID].[All]" dimensionUniqueName="[Platts_Gas_Power_Months]" displayFolder="" count="0" unbalanced="0" hidden="1"/>
    <cacheHierarchy uniqueName="[Platts_Gas_Power_Months].[DemandProfile]" caption="DemandProfile" attribute="1" defaultMemberUniqueName="[Platts_Gas_Power_Months].[DemandProfile].[All]" allUniqueName="[Platts_Gas_Power_Months].[DemandProfile].[All]" dimensionUniqueName="[Platts_Gas_Power_Months]" displayFolder="" count="0" unbalanced="0" hidden="1"/>
    <cacheHierarchy uniqueName="[Platts_Gas_Power_Months].[DemandProfileID]" caption="DemandProfileID" attribute="1" defaultMemberUniqueName="[Platts_Gas_Power_Months].[DemandProfileID].[All]" allUniqueName="[Platts_Gas_Power_Months].[DemandProfileID].[All]" dimensionUniqueName="[Platts_Gas_Power_Months]" displayFolder="" count="0" unbalanced="0" hidden="1"/>
    <cacheHierarchy uniqueName="[Platts_Gas_Power_Months].[HeatRate]" caption="HeatRate" attribute="1" defaultMemberUniqueName="[Platts_Gas_Power_Months].[HeatRate].[All]" allUniqueName="[Platts_Gas_Power_Months].[HeatRate].[All]" dimensionUniqueName="[Platts_Gas_Power_Months]" displayFolder="" count="0" unbalanced="0" hidden="1"/>
    <cacheHierarchy uniqueName="[Platts_Gas_Power_Months].[Prices]" caption="Prices" attribute="1" defaultMemberUniqueName="[Platts_Gas_Power_Months].[Prices].[All]" allUniqueName="[Platts_Gas_Power_Months].[Prices].[All]" dimensionUniqueName="[Platts_Gas_Power_Months]" displayFolder="" count="0" unbalanced="0" hidden="1"/>
    <cacheHierarchy uniqueName="[Platts_Gas_Power_Months].[PriceTypeID]" caption="PriceTypeID" attribute="1" defaultMemberUniqueName="[Platts_Gas_Power_Months].[PriceTypeID].[All]" allUniqueName="[Platts_Gas_Power_Months].[PriceTypeID].[All]" dimensionUniqueName="[Platts_Gas_Power_Months]" displayFolder="" count="0" unbalanced="0" hidden="1"/>
    <cacheHierarchy uniqueName="[Platts_Gas_Power_Months].[Values]" caption="Values" attribute="1" defaultMemberUniqueName="[Platts_Gas_Power_Months].[Values].[All]" allUniqueName="[Platts_Gas_Power_Months].[Values].[All]" dimensionUniqueName="[Platts_Gas_Power_Months]" displayFolder="" count="0" unbalanced="0" hidden="1"/>
    <cacheHierarchy uniqueName="[Platts_Monthly_Recovery].[CommodityID]" caption="CommodityID" attribute="1" defaultMemberUniqueName="[Platts_Monthly_Recovery].[CommodityID].[All]" allUniqueName="[Platts_Monthly_Recovery].[CommodityID].[All]" dimensionUniqueName="[Platts_Monthly_Recovery]" displayFolder="" count="0" unbalanced="0" hidden="1"/>
    <cacheHierarchy uniqueName="[Platts_Monthly_Recovery].[CurveDateKey]" caption="CurveDateKey" attribute="1" defaultMemberUniqueName="[Platts_Monthly_Recovery].[CurveDateKey].[All]" allUniqueName="[Platts_Monthly_Recovery].[CurveDateKey].[All]" dimensionUniqueName="[Platts_Monthly_Recovery]" displayFolder="" count="0" unbalanced="0" hidden="1"/>
    <cacheHierarchy uniqueName="[Platts_Monthly_Recovery].[DataSourceID]" caption="DataSourceID" attribute="1" defaultMemberUniqueName="[Platts_Monthly_Recovery].[DataSourceID].[All]" allUniqueName="[Platts_Monthly_Recovery].[DataSourceID].[All]" dimensionUniqueName="[Platts_Monthly_Recovery]" displayFolder="" count="0" unbalanced="0" hidden="1"/>
    <cacheHierarchy uniqueName="[Platts_Monthly_Recovery].[DeliveryDateKey]" caption="DeliveryDateKey" attribute="1" defaultMemberUniqueName="[Platts_Monthly_Recovery].[DeliveryDateKey].[All]" allUniqueName="[Platts_Monthly_Recovery].[DeliveryDateKey].[All]" dimensionUniqueName="[Platts_Monthly_Recovery]" displayFolder="" count="0" unbalanced="0" hidden="1"/>
    <cacheHierarchy uniqueName="[Platts_Monthly_Recovery].[DeliveryRegionID]" caption="DeliveryRegionID" attribute="1" defaultMemberUniqueName="[Platts_Monthly_Recovery].[DeliveryRegionID].[All]" allUniqueName="[Platts_Monthly_Recovery].[DeliveryRegionID].[All]" dimensionUniqueName="[Platts_Monthly_Recovery]" displayFolder="" count="0" unbalanced="0" hidden="1"/>
    <cacheHierarchy uniqueName="[Platts_Monthly_Recovery].[DemandProfileID]" caption="DemandProfileID" attribute="1" defaultMemberUniqueName="[Platts_Monthly_Recovery].[DemandProfileID].[All]" allUniqueName="[Platts_Monthly_Recovery].[DemandProfileID].[All]" dimensionUniqueName="[Platts_Monthly_Recovery]" displayFolder="" count="0" unbalanced="0" hidden="1"/>
    <cacheHierarchy uniqueName="[Platts_Monthly_Recovery].[HeatRate]" caption="HeatRate" attribute="1" defaultMemberUniqueName="[Platts_Monthly_Recovery].[HeatRate].[All]" allUniqueName="[Platts_Monthly_Recovery].[HeatRate].[All]" dimensionUniqueName="[Platts_Monthly_Recovery]" displayFolder="" count="0" unbalanced="0" hidden="1"/>
    <cacheHierarchy uniqueName="[Platts_Monthly_Recovery].[Prices]" caption="Prices" attribute="1" defaultMemberUniqueName="[Platts_Monthly_Recovery].[Prices].[All]" allUniqueName="[Platts_Monthly_Recovery].[Prices].[All]" dimensionUniqueName="[Platts_Monthly_Recovery]" displayFolder="" count="0" unbalanced="0" hidden="1"/>
    <cacheHierarchy uniqueName="[Platts_Monthly_Recovery].[PriceTypeID]" caption="PriceTypeID" attribute="1" defaultMemberUniqueName="[Platts_Monthly_Recovery].[PriceTypeID].[All]" allUniqueName="[Platts_Monthly_Recovery].[PriceTypeID].[All]" dimensionUniqueName="[Platts_Monthly_Recovery]" displayFolder="" count="0" unbalanced="0" hidden="1"/>
    <cacheHierarchy uniqueName="[Platts_MonthlyGasHistory].[CommodityID]" caption="CommodityID" attribute="1" defaultMemberUniqueName="[Platts_MonthlyGasHistory].[CommodityID].[All]" allUniqueName="[Platts_MonthlyGasHistory].[CommodityID].[All]" dimensionUniqueName="[Platts_MonthlyGasHistory]" displayFolder="" count="0" unbalanced="0" hidden="1"/>
    <cacheHierarchy uniqueName="[Platts_MonthlyGasHistory].[contract_month]" caption="contract_month" attribute="1" defaultMemberUniqueName="[Platts_MonthlyGasHistory].[contract_month].[All]" allUniqueName="[Platts_MonthlyGasHistory].[contract_month].[All]" dimensionUniqueName="[Platts_MonthlyGasHistory]" displayFolder="" count="0" unbalanced="0" hidden="1"/>
    <cacheHierarchy uniqueName="[Platts_MonthlyGasHistory].[contract_year]" caption="contract_year" attribute="1" defaultMemberUniqueName="[Platts_MonthlyGasHistory].[contract_year].[All]" allUniqueName="[Platts_MonthlyGasHistory].[contract_year].[All]" dimensionUniqueName="[Platts_MonthlyGasHistory]" displayFolder="" count="0" unbalanced="0" hidden="1"/>
    <cacheHierarchy uniqueName="[Platts_MonthlyGasHistory].[CurveDate]" caption="CurveDate" attribute="1" defaultMemberUniqueName="[Platts_MonthlyGasHistory].[CurveDate].[All]" allUniqueName="[Platts_MonthlyGasHistory].[CurveDate].[All]" dimensionUniqueName="[Platts_MonthlyGasHistory]" displayFolder="" count="0" unbalanced="0" hidden="1"/>
    <cacheHierarchy uniqueName="[Platts_MonthlyGasHistory].[CurveDateKey]" caption="CurveDateKey" attribute="1" defaultMemberUniqueName="[Platts_MonthlyGasHistory].[CurveDateKey].[All]" allUniqueName="[Platts_MonthlyGasHistory].[CurveDateKey].[All]" dimensionUniqueName="[Platts_MonthlyGasHistory]" displayFolder="" count="0" unbalanced="0" hidden="1"/>
    <cacheHierarchy uniqueName="[Platts_MonthlyGasHistory].[Custom]" caption="Custom" attribute="1" defaultMemberUniqueName="[Platts_MonthlyGasHistory].[Custom].[All]" allUniqueName="[Platts_MonthlyGasHistory].[Custom].[All]" dimensionUniqueName="[Platts_MonthlyGasHistory]" displayFolder="" count="0" unbalanced="0" hidden="1"/>
    <cacheHierarchy uniqueName="[Platts_MonthlyGasHistory].[DataSourceID]" caption="DataSourceID" attribute="1" defaultMemberUniqueName="[Platts_MonthlyGasHistory].[DataSourceID].[All]" allUniqueName="[Platts_MonthlyGasHistory].[DataSourceID].[All]" dimensionUniqueName="[Platts_MonthlyGasHistory]" displayFolder="" count="0" unbalanced="0" hidden="1"/>
    <cacheHierarchy uniqueName="[Platts_MonthlyGasHistory].[DeliveryDate]" caption="DeliveryDate" attribute="1" defaultMemberUniqueName="[Platts_MonthlyGasHistory].[DeliveryDate].[All]" allUniqueName="[Platts_MonthlyGasHistory].[DeliveryDate].[All]" dimensionUniqueName="[Platts_MonthlyGasHistory]" displayFolder="" count="0" unbalanced="0" hidden="1"/>
    <cacheHierarchy uniqueName="[Platts_MonthlyGasHistory].[DeliveryDateKey]" caption="DeliveryDateKey" attribute="1" defaultMemberUniqueName="[Platts_MonthlyGasHistory].[DeliveryDateKey].[All]" allUniqueName="[Platts_MonthlyGasHistory].[DeliveryDateKey].[All]" dimensionUniqueName="[Platts_MonthlyGasHistory]" displayFolder="" count="0" unbalanced="0" hidden="1"/>
    <cacheHierarchy uniqueName="[Platts_MonthlyGasHistory].[DeliveryRegionID]" caption="DeliveryRegionID" attribute="1" defaultMemberUniqueName="[Platts_MonthlyGasHistory].[DeliveryRegionID].[All]" allUniqueName="[Platts_MonthlyGasHistory].[DeliveryRegionID].[All]" dimensionUniqueName="[Platts_MonthlyGasHistory]" displayFolder="" count="0" unbalanced="0" hidden="1"/>
    <cacheHierarchy uniqueName="[Platts_MonthlyGasHistory].[DeliveryRegionName]" caption="DeliveryRegionName" attribute="1" defaultMemberUniqueName="[Platts_MonthlyGasHistory].[DeliveryRegionName].[All]" allUniqueName="[Platts_MonthlyGasHistory].[DeliveryRegionName].[All]" dimensionUniqueName="[Platts_MonthlyGasHistory]" displayFolder="" count="0" unbalanced="0" hidden="1"/>
    <cacheHierarchy uniqueName="[Platts_MonthlyGasHistory].[DemandProfileID]" caption="DemandProfileID" attribute="1" defaultMemberUniqueName="[Platts_MonthlyGasHistory].[DemandProfileID].[All]" allUniqueName="[Platts_MonthlyGasHistory].[DemandProfileID].[All]" dimensionUniqueName="[Platts_MonthlyGasHistory]" displayFolder="" count="0" unbalanced="0" hidden="1"/>
    <cacheHierarchy uniqueName="[Platts_MonthlyGasHistory].[First Characters]" caption="First Characters" attribute="1" defaultMemberUniqueName="[Platts_MonthlyGasHistory].[First Characters].[All]" allUniqueName="[Platts_MonthlyGasHistory].[First Characters].[All]" dimensionUniqueName="[Platts_MonthlyGasHistory]" displayFolder="" count="0" unbalanced="0" hidden="1"/>
    <cacheHierarchy uniqueName="[Platts_MonthlyGasHistory].[HeatRate]" caption="HeatRate" attribute="1" defaultMemberUniqueName="[Platts_MonthlyGasHistory].[HeatRate].[All]" allUniqueName="[Platts_MonthlyGasHistory].[HeatRate].[All]" dimensionUniqueName="[Platts_MonthlyGasHistory]" displayFolder="" count="0" unbalanced="0" hidden="1"/>
    <cacheHierarchy uniqueName="[Platts_MonthlyGasHistory].[location]" caption="location" attribute="1" defaultMemberUniqueName="[Platts_MonthlyGasHistory].[location].[All]" allUniqueName="[Platts_MonthlyGasHistory].[location].[All]" dimensionUniqueName="[Platts_MonthlyGasHistory]" displayFolder="" count="0" unbalanced="0" hidden="1"/>
    <cacheHierarchy uniqueName="[Platts_MonthlyGasHistory].[Prices]" caption="Prices" attribute="1" defaultMemberUniqueName="[Platts_MonthlyGasHistory].[Prices].[All]" allUniqueName="[Platts_MonthlyGasHistory].[Prices].[All]" dimensionUniqueName="[Platts_MonthlyGasHistory]" displayFolder="" count="0" unbalanced="0" hidden="1"/>
    <cacheHierarchy uniqueName="[Platts_MonthlyGasHistory].[PriceTypeID]" caption="PriceTypeID" attribute="1" defaultMemberUniqueName="[Platts_MonthlyGasHistory].[PriceTypeID].[All]" allUniqueName="[Platts_MonthlyGasHistory].[PriceTypeID].[All]" dimensionUniqueName="[Platts_MonthlyGasHistory]" displayFolder="" count="0" unbalanced="0" hidden="1"/>
    <cacheHierarchy uniqueName="[Platts_MonthlyPowerHistory].[CommodityID]" caption="CommodityID" attribute="1" defaultMemberUniqueName="[Platts_MonthlyPowerHistory].[CommodityID].[All]" allUniqueName="[Platts_MonthlyPowerHistory].[CommodityID].[All]" dimensionUniqueName="[Platts_MonthlyPowerHistory]" displayFolder="" count="0" unbalanced="0" hidden="1"/>
    <cacheHierarchy uniqueName="[Platts_MonthlyPowerHistory].[contract_month]" caption="contract_month" attribute="1" defaultMemberUniqueName="[Platts_MonthlyPowerHistory].[contract_month].[All]" allUniqueName="[Platts_MonthlyPowerHistory].[contract_month].[All]" dimensionUniqueName="[Platts_MonthlyPowerHistory]" displayFolder="" count="0" unbalanced="0" hidden="1"/>
    <cacheHierarchy uniqueName="[Platts_MonthlyPowerHistory].[contract_year]" caption="contract_year" attribute="1" defaultMemberUniqueName="[Platts_MonthlyPowerHistory].[contract_year].[All]" allUniqueName="[Platts_MonthlyPowerHistory].[contract_year].[All]" dimensionUniqueName="[Platts_MonthlyPowerHistory]" displayFolder="" count="0" unbalanced="0" hidden="1"/>
    <cacheHierarchy uniqueName="[Platts_MonthlyPowerHistory].[CurveDate]" caption="CurveDate" attribute="1" defaultMemberUniqueName="[Platts_MonthlyPowerHistory].[CurveDate].[All]" allUniqueName="[Platts_MonthlyPowerHistory].[CurveDate].[All]" dimensionUniqueName="[Platts_MonthlyPowerHistory]" displayFolder="" count="0" unbalanced="0" hidden="1"/>
    <cacheHierarchy uniqueName="[Platts_MonthlyPowerHistory].[CurveDateKey]" caption="CurveDateKey" attribute="1" defaultMemberUniqueName="[Platts_MonthlyPowerHistory].[CurveDateKey].[All]" allUniqueName="[Platts_MonthlyPowerHistory].[CurveDateKey].[All]" dimensionUniqueName="[Platts_MonthlyPowerHistory]" displayFolder="" count="0" unbalanced="0" hidden="1"/>
    <cacheHierarchy uniqueName="[Platts_MonthlyPowerHistory].[Custom]" caption="Custom" attribute="1" defaultMemberUniqueName="[Platts_MonthlyPowerHistory].[Custom].[All]" allUniqueName="[Platts_MonthlyPowerHistory].[Custom].[All]" dimensionUniqueName="[Platts_MonthlyPowerHistory]" displayFolder="" count="0" unbalanced="0" hidden="1"/>
    <cacheHierarchy uniqueName="[Platts_MonthlyPowerHistory].[DataSourceID]" caption="DataSourceID" attribute="1" defaultMemberUniqueName="[Platts_MonthlyPowerHistory].[DataSourceID].[All]" allUniqueName="[Platts_MonthlyPowerHistory].[DataSourceID].[All]" dimensionUniqueName="[Platts_MonthlyPowerHistory]" displayFolder="" count="0" unbalanced="0" hidden="1"/>
    <cacheHierarchy uniqueName="[Platts_MonthlyPowerHistory].[DeliveryDate]" caption="DeliveryDate" attribute="1" defaultMemberUniqueName="[Platts_MonthlyPowerHistory].[DeliveryDate].[All]" allUniqueName="[Platts_MonthlyPowerHistory].[DeliveryDate].[All]" dimensionUniqueName="[Platts_MonthlyPowerHistory]" displayFolder="" count="0" unbalanced="0" hidden="1"/>
    <cacheHierarchy uniqueName="[Platts_MonthlyPowerHistory].[DeliveryDateKey]" caption="DeliveryDateKey" attribute="1" defaultMemberUniqueName="[Platts_MonthlyPowerHistory].[DeliveryDateKey].[All]" allUniqueName="[Platts_MonthlyPowerHistory].[DeliveryDateKey].[All]" dimensionUniqueName="[Platts_MonthlyPowerHistory]" displayFolder="" count="0" unbalanced="0" hidden="1"/>
    <cacheHierarchy uniqueName="[Platts_MonthlyPowerHistory].[DeliveryRegionID]" caption="DeliveryRegionID" attribute="1" defaultMemberUniqueName="[Platts_MonthlyPowerHistory].[DeliveryRegionID].[All]" allUniqueName="[Platts_MonthlyPowerHistory].[DeliveryRegionID].[All]" dimensionUniqueName="[Platts_MonthlyPowerHistory]" displayFolder="" count="0" unbalanced="0" hidden="1"/>
    <cacheHierarchy uniqueName="[Platts_MonthlyPowerHistory].[DeliveryRegionName]" caption="DeliveryRegionName" attribute="1" defaultMemberUniqueName="[Platts_MonthlyPowerHistory].[DeliveryRegionName].[All]" allUniqueName="[Platts_MonthlyPowerHistory].[DeliveryRegionName].[All]" dimensionUniqueName="[Platts_MonthlyPowerHistory]" displayFolder="" count="0" unbalanced="0" hidden="1"/>
    <cacheHierarchy uniqueName="[Platts_MonthlyPowerHistory].[DemandProfile]" caption="DemandProfile" attribute="1" defaultMemberUniqueName="[Platts_MonthlyPowerHistory].[DemandProfile].[All]" allUniqueName="[Platts_MonthlyPowerHistory].[DemandProfile].[All]" dimensionUniqueName="[Platts_MonthlyPowerHistory]" displayFolder="" count="0" unbalanced="0" hidden="1"/>
    <cacheHierarchy uniqueName="[Platts_MonthlyPowerHistory].[DemandProfileID]" caption="DemandProfileID" attribute="1" defaultMemberUniqueName="[Platts_MonthlyPowerHistory].[DemandProfileID].[All]" allUniqueName="[Platts_MonthlyPowerHistory].[DemandProfileID].[All]" dimensionUniqueName="[Platts_MonthlyPowerHistory]" displayFolder="" count="0" unbalanced="0" hidden="1"/>
    <cacheHierarchy uniqueName="[Platts_MonthlyPowerHistory].[First Characters]" caption="First Characters" attribute="1" defaultMemberUniqueName="[Platts_MonthlyPowerHistory].[First Characters].[All]" allUniqueName="[Platts_MonthlyPowerHistory].[First Characters].[All]" dimensionUniqueName="[Platts_MonthlyPowerHistory]" displayFolder="" count="0" unbalanced="0" hidden="1"/>
    <cacheHierarchy uniqueName="[Platts_MonthlyPowerHistory].[HeatRate]" caption="HeatRate" attribute="1" defaultMemberUniqueName="[Platts_MonthlyPowerHistory].[HeatRate].[All]" allUniqueName="[Platts_MonthlyPowerHistory].[HeatRate].[All]" dimensionUniqueName="[Platts_MonthlyPowerHistory]" displayFolder="" count="0" unbalanced="0" hidden="1"/>
    <cacheHierarchy uniqueName="[Platts_MonthlyPowerHistory].[location]" caption="location" attribute="1" defaultMemberUniqueName="[Platts_MonthlyPowerHistory].[location].[All]" allUniqueName="[Platts_MonthlyPowerHistory].[location].[All]" dimensionUniqueName="[Platts_MonthlyPowerHistory]" displayFolder="" count="0" unbalanced="0" hidden="1"/>
    <cacheHierarchy uniqueName="[Platts_MonthlyPowerHistory].[Prices]" caption="Prices" attribute="1" defaultMemberUniqueName="[Platts_MonthlyPowerHistory].[Prices].[All]" allUniqueName="[Platts_MonthlyPowerHistory].[Prices].[All]" dimensionUniqueName="[Platts_MonthlyPowerHistory]" displayFolder="" count="0" unbalanced="0" hidden="1"/>
    <cacheHierarchy uniqueName="[Platts_MonthlyPowerHistory].[PriceTypeID]" caption="PriceTypeID" attribute="1" defaultMemberUniqueName="[Platts_MonthlyPowerHistory].[PriceTypeID].[All]" allUniqueName="[Platts_MonthlyPowerHistory].[PriceTypeID].[All]" dimensionUniqueName="[Platts_MonthlyPowerHistory]" displayFolder="" count="0" unbalanced="0" hidden="1"/>
    <cacheHierarchy uniqueName="[Price Source].[PriceSourceID]" caption="PriceSourceID" attribute="1" defaultMemberUniqueName="[Price Source].[PriceSourceID].[All]" allUniqueName="[Price Source].[PriceSourceID].[All]" dimensionUniqueName="[Price Source]" displayFolder="" count="0" unbalanced="0" hidden="1"/>
    <cacheHierarchy uniqueName="[Price Type].[PriceTypeID]" caption="PriceTypeID" attribute="1" defaultMemberUniqueName="[Price Type].[PriceTypeID].[All]" allUniqueName="[Price Type].[PriceTypeID].[All]" dimensionUniqueName="[Price Type]" displayFolder="" count="0" unbalanced="0" hidden="1"/>
    <cacheHierarchy uniqueName="[PriceDataLoadTracker].[CreateDate]" caption="CreateDate" attribute="1" defaultMemberUniqueName="[PriceDataLoadTracker].[CreateDate].[All]" allUniqueName="[PriceDataLoadTracker].[CreateDate].[All]" dimensionUniqueName="[PriceDataLoadTracker]" displayFolder="" count="0" unbalanced="0" hidden="1"/>
    <cacheHierarchy uniqueName="[PriceDataLoadTracker].[CreatedBy]" caption="CreatedBy" attribute="1" defaultMemberUniqueName="[PriceDataLoadTracker].[CreatedBy].[All]" allUniqueName="[PriceDataLoadTracker].[CreatedBy].[All]" dimensionUniqueName="[PriceDataLoadTracker]" displayFolder="" count="0" unbalanced="0" hidden="1"/>
    <cacheHierarchy uniqueName="[PriceDataLoadTracker].[IsActive]" caption="IsActive" attribute="1" defaultMemberUniqueName="[PriceDataLoadTracker].[IsActive].[All]" allUniqueName="[PriceDataLoadTracker].[IsActive].[All]" dimensionUniqueName="[PriceDataLoadTracker]" displayFolder="" count="0" unbalanced="0" hidden="1"/>
    <cacheHierarchy uniqueName="[PriceDataLoadTracker].[IsRecoveryProfile]" caption="IsRecoveryProfile" attribute="1" defaultMemberUniqueName="[PriceDataLoadTracker].[IsRecoveryProfile].[All]" allUniqueName="[PriceDataLoadTracker].[IsRecoveryProfile].[All]" dimensionUniqueName="[PriceDataLoadTracker]" displayFolder="" count="0" unbalanced="0" hidden="1"/>
    <cacheHierarchy uniqueName="[PriceDataLoadTracker].[LastCurveDateProcessed]" caption="LastCurveDateProcessed" attribute="1" defaultMemberUniqueName="[PriceDataLoadTracker].[LastCurveDateProcessed].[All]" allUniqueName="[PriceDataLoadTracker].[LastCurveDateProcessed].[All]" dimensionUniqueName="[PriceDataLoadTracker]" displayFolder="" count="0" unbalanced="0" hidden="1"/>
    <cacheHierarchy uniqueName="[PriceDataLoadTracker].[ProfileID]" caption="ProfileID" attribute="1" defaultMemberUniqueName="[PriceDataLoadTracker].[ProfileID].[All]" allUniqueName="[PriceDataLoadTracker].[ProfileID].[All]" dimensionUniqueName="[PriceDataLoadTracker]" displayFolder="" count="0" unbalanced="0" hidden="1"/>
    <cacheHierarchy uniqueName="[PriceDataLoadTracker].[ProfileName]" caption="ProfileName" attribute="1" defaultMemberUniqueName="[PriceDataLoadTracker].[ProfileName].[All]" allUniqueName="[PriceDataLoadTracker].[ProfileName].[All]" dimensionUniqueName="[PriceDataLoadTracker]" displayFolder="" count="0" unbalanced="0" hidden="1"/>
    <cacheHierarchy uniqueName="[PriceDataLoadTracker].[ProfileURL]" caption="ProfileURL" attribute="1" defaultMemberUniqueName="[PriceDataLoadTracker].[ProfileURL].[All]" allUniqueName="[PriceDataLoadTracker].[ProfileURL].[All]" dimensionUniqueName="[PriceDataLoadTracker]" displayFolder="" count="0" unbalanced="0" hidden="1"/>
    <cacheHierarchy uniqueName="[PriceDataLoadTracker].[UpdatedBy]" caption="UpdatedBy" attribute="1" defaultMemberUniqueName="[PriceDataLoadTracker].[UpdatedBy].[All]" allUniqueName="[PriceDataLoadTracker].[UpdatedBy].[All]" dimensionUniqueName="[PriceDataLoadTracker]" displayFolder="" count="0" unbalanced="0" hidden="1"/>
    <cacheHierarchy uniqueName="[PriceDataLoadTracker].[UpdatedDateDatetime]" caption="UpdatedDateDatetime" attribute="1" defaultMemberUniqueName="[PriceDataLoadTracker].[UpdatedDateDatetime].[All]" allUniqueName="[PriceDataLoadTracker].[UpdatedDateDatetime].[All]" dimensionUniqueName="[PriceDataLoadTracker]" displayFolder="" count="0" unbalanced="0" hidden="1"/>
    <cacheHierarchy uniqueName="[Relative Curve Dates].[SortID]" caption="SortID" attribute="1" defaultMemberUniqueName="[Relative Curve Dates].[SortID].[All]" allUniqueName="[Relative Curve Dates].[SortID].[All]" dimensionUniqueName="[Relative Curve Dates]" displayFolder="" count="0" unbalanced="0" hidden="1"/>
    <cacheHierarchy uniqueName="[Relative Delivery Dates].[SortID]" caption="SortID" attribute="1" defaultMemberUniqueName="[Relative Delivery Dates].[SortID].[All]" allUniqueName="[Relative Delivery Dates].[SortID].[All]" dimensionUniqueName="[Relative Delivery Dates]" displayFolder="" count="0" unbalanced="0" hidden="1"/>
    <cacheHierarchy uniqueName="[Tullett_Power_BOM_Daily].[Attribute]" caption="Attribute" attribute="1" defaultMemberUniqueName="[Tullett_Power_BOM_Daily].[Attribute].[All]" allUniqueName="[Tullett_Power_BOM_Daily].[Attribute].[All]" dimensionUniqueName="[Tullett_Power_BOM_Daily]" displayFolder="" count="0" unbalanced="0" hidden="1"/>
    <cacheHierarchy uniqueName="[Tullett_Power_BOM_Daily].[Commodity]" caption="Commodity" attribute="1" defaultMemberUniqueName="[Tullett_Power_BOM_Daily].[Commodity].[All]" allUniqueName="[Tullett_Power_BOM_Daily].[Commodity].[All]" dimensionUniqueName="[Tullett_Power_BOM_Daily]" displayFolder="" count="0" unbalanced="0" hidden="1"/>
    <cacheHierarchy uniqueName="[Tullett_Power_BOM_Daily].[CommodityID]" caption="CommodityID" attribute="1" defaultMemberUniqueName="[Tullett_Power_BOM_Daily].[CommodityID].[All]" allUniqueName="[Tullett_Power_BOM_Daily].[CommodityID].[All]" dimensionUniqueName="[Tullett_Power_BOM_Daily]" displayFolder="" count="0" unbalanced="0" hidden="1"/>
    <cacheHierarchy uniqueName="[Tullett_Power_BOM_Daily].[CurveDate]" caption="CurveDate" attribute="1" defaultMemberUniqueName="[Tullett_Power_BOM_Daily].[CurveDate].[All]" allUniqueName="[Tullett_Power_BOM_Daily].[CurveDate].[All]" dimensionUniqueName="[Tullett_Power_BOM_Daily]" displayFolder="" count="0" unbalanced="0" hidden="1"/>
    <cacheHierarchy uniqueName="[Tullett_Power_BOM_Daily].[CurveDateKey]" caption="CurveDateKey" attribute="1" defaultMemberUniqueName="[Tullett_Power_BOM_Daily].[CurveDateKey].[All]" allUniqueName="[Tullett_Power_BOM_Daily].[CurveDateKey].[All]" dimensionUniqueName="[Tullett_Power_BOM_Daily]" displayFolder="" count="0" unbalanced="0" hidden="1"/>
    <cacheHierarchy uniqueName="[Tullett_Power_BOM_Daily].[DataSourceID]" caption="DataSourceID" attribute="1" defaultMemberUniqueName="[Tullett_Power_BOM_Daily].[DataSourceID].[All]" allUniqueName="[Tullett_Power_BOM_Daily].[DataSourceID].[All]" dimensionUniqueName="[Tullett_Power_BOM_Daily]" displayFolder="" count="0" unbalanced="0" hidden="1"/>
    <cacheHierarchy uniqueName="[Tullett_Power_BOM_Daily].[DeliveryDateKey]" caption="DeliveryDateKey" attribute="1" defaultMemberUniqueName="[Tullett_Power_BOM_Daily].[DeliveryDateKey].[All]" allUniqueName="[Tullett_Power_BOM_Daily].[DeliveryDateKey].[All]" dimensionUniqueName="[Tullett_Power_BOM_Daily]" displayFolder="" count="0" unbalanced="0" hidden="1"/>
    <cacheHierarchy uniqueName="[Tullett_Power_BOM_Daily].[DeliveryRegion]" caption="DeliveryRegion" attribute="1" defaultMemberUniqueName="[Tullett_Power_BOM_Daily].[DeliveryRegion].[All]" allUniqueName="[Tullett_Power_BOM_Daily].[DeliveryRegion].[All]" dimensionUniqueName="[Tullett_Power_BOM_Daily]" displayFolder="" count="0" unbalanced="0" hidden="1"/>
    <cacheHierarchy uniqueName="[Tullett_Power_BOM_Daily].[DeliveryRegionID]" caption="DeliveryRegionID" attribute="1" defaultMemberUniqueName="[Tullett_Power_BOM_Daily].[DeliveryRegionID].[All]" allUniqueName="[Tullett_Power_BOM_Daily].[DeliveryRegionID].[All]" dimensionUniqueName="[Tullett_Power_BOM_Daily]" displayFolder="" count="0" unbalanced="0" hidden="1"/>
    <cacheHierarchy uniqueName="[Tullett_Power_BOM_Daily].[DemandProfile]" caption="DemandProfile" attribute="1" defaultMemberUniqueName="[Tullett_Power_BOM_Daily].[DemandProfile].[All]" allUniqueName="[Tullett_Power_BOM_Daily].[DemandProfile].[All]" dimensionUniqueName="[Tullett_Power_BOM_Daily]" displayFolder="" count="0" unbalanced="0" hidden="1"/>
    <cacheHierarchy uniqueName="[Tullett_Power_BOM_Daily].[DemandProfileID]" caption="DemandProfileID" attribute="1" defaultMemberUniqueName="[Tullett_Power_BOM_Daily].[DemandProfileID].[All]" allUniqueName="[Tullett_Power_BOM_Daily].[DemandProfileID].[All]" dimensionUniqueName="[Tullett_Power_BOM_Daily]" displayFolder="" count="0" unbalanced="0" hidden="1"/>
    <cacheHierarchy uniqueName="[Tullett_Power_BOM_Daily].[HeatRate]" caption="HeatRate" attribute="1" defaultMemberUniqueName="[Tullett_Power_BOM_Daily].[HeatRate].[All]" allUniqueName="[Tullett_Power_BOM_Daily].[HeatRate].[All]" dimensionUniqueName="[Tullett_Power_BOM_Daily]" displayFolder="" count="0" unbalanced="0" hidden="1"/>
    <cacheHierarchy uniqueName="[Tullett_Power_BOM_Daily].[Prices]" caption="Prices" attribute="1" defaultMemberUniqueName="[Tullett_Power_BOM_Daily].[Prices].[All]" allUniqueName="[Tullett_Power_BOM_Daily].[Prices].[All]" dimensionUniqueName="[Tullett_Power_BOM_Daily]" displayFolder="" count="0" unbalanced="0" hidden="1"/>
    <cacheHierarchy uniqueName="[Tullett_Power_BOM_Daily].[PriceTypeID]" caption="PriceTypeID" attribute="1" defaultMemberUniqueName="[Tullett_Power_BOM_Daily].[PriceTypeID].[All]" allUniqueName="[Tullett_Power_BOM_Daily].[PriceTypeID].[All]" dimensionUniqueName="[Tullett_Power_BOM_Daily]" displayFolder="" count="0" unbalanced="0" hidden="1"/>
    <cacheHierarchy uniqueName="[Tullett_Power_BOM_Daily].[Value]" caption="Value" attribute="1" defaultMemberUniqueName="[Tullett_Power_BOM_Daily].[Value].[All]" allUniqueName="[Tullett_Power_BOM_Daily].[Value].[All]" dimensionUniqueName="[Tullett_Power_BOM_Daily]" displayFolder="" count="0" unbalanced="0" hidden="1"/>
    <cacheHierarchy uniqueName="[Measures].[Official Marks]" caption="Official Marks" measure="1" displayFolder="" measureGroup="Measure" count="0"/>
    <cacheHierarchy uniqueName="[Measures].[Price &amp; HeatRate]" caption="Price &amp; HeatRate" measure="1" displayFolder="" measureGroup="Measure" count="0" oneField="1">
      <fieldsUsage count="1">
        <fieldUsage x="0"/>
      </fieldsUsage>
    </cacheHierarchy>
    <cacheHierarchy uniqueName="[Measures].[Sumas Heat Rate]" caption="Sumas Heat Rate" measure="1" displayFolder="" measureGroup="Measure" count="0"/>
    <cacheHierarchy uniqueName="[Measures].[Change]" caption="Change" measure="1" displayFolder="" measureGroup="Measure" count="0"/>
    <cacheHierarchy uniqueName="[Measures].[Change%]" caption="Change%" measure="1" displayFolder="" measureGroup="Measure" count="0"/>
    <cacheHierarchy uniqueName="[Measures].[Previous Marks]" caption="Previous Marks" measure="1" displayFolder="" measureGroup="Measure" count="0"/>
    <cacheHierarchy uniqueName="[Measures].[Previous Sumas Heat Rate]" caption="Previous Sumas Heat Rate" measure="1" displayFolder="" measureGroup="Measure" count="0"/>
    <cacheHierarchy uniqueName="[Measures].[Current Month]" caption="Current Month" measure="1" displayFolder="" measureGroup="Measure" count="0" hidden="1"/>
    <cacheHierarchy uniqueName="[Measures].[Trade Prices]" caption="Trade Prices" measure="1" displayFolder="" measureGroup="Measure" count="0" hidden="1"/>
    <cacheHierarchy uniqueName="[Measures].[Rolling 24 Months]" caption="Rolling 24 Months" measure="1" displayFolder="" measureGroup="Measure" count="0" hidden="1"/>
    <cacheHierarchy uniqueName="[Measures].[Rolling Hedge Months 14 - 38]" caption="Rolling Hedge Months 14 - 38" measure="1" displayFolder="" measureGroup="Measure" count="0" hidden="1"/>
    <cacheHierarchy uniqueName="[Measures].[Next 12 Full Months]" caption="Next 12 Full Months" measure="1" displayFolder="" measureGroup="Measure" count="0" hidden="1"/>
    <cacheHierarchy uniqueName="[Measures].[Previous Trade Prices]" caption="Previous Trade Prices" measure="1" displayFolder="" measureGroup="Measure" count="0" hidden="1"/>
    <cacheHierarchy uniqueName="[Measures].[Previous Curve Date]" caption="Previous Curve Date" measure="1" displayFolder="" measureGroup="Measure" count="0" hidden="1"/>
    <cacheHierarchy uniqueName="[Measures].[Prev Current Month]" caption="Prev Current Month" measure="1" displayFolder="" measureGroup="Measure" count="0" hidden="1"/>
    <cacheHierarchy uniqueName="[Measures].[Prev Rolling 24 Months]" caption="Prev Rolling 24 Months" measure="1" displayFolder="" measureGroup="Measure" count="0" hidden="1"/>
    <cacheHierarchy uniqueName="[Measures].[Prev Rolling Hedge Months 14 - 38]" caption="Prev Rolling Hedge Months 14 - 38" measure="1" displayFolder="" measureGroup="Measure" count="0" hidden="1"/>
    <cacheHierarchy uniqueName="[Measures].[Prev Next 12 Full Months]" caption="Prev Next 12 Full Months" measure="1" displayFolder="" measureGroup="Measure" count="0" hidden="1"/>
    <cacheHierarchy uniqueName="[Measures].[BOM]" caption="BOM" measure="1" displayFolder="" measureGroup="Measure" count="0" hidden="1"/>
    <cacheHierarchy uniqueName="[Measures].[Pre Trade Prices]" caption="Pre Trade Prices" measure="1" displayFolder="" measureGroup="Measure" count="0" hidden="1"/>
    <cacheHierarchy uniqueName="[Measures].[Pre Prev Trade Prices]" caption="Pre Prev Trade Prices" measure="1" displayFolder="" measureGroup="Measure" count="0" hidden="1"/>
    <cacheHierarchy uniqueName="[Measures].[Pre PrevPrice-BOM]" caption="Pre PrevPrice-BOM" measure="1" displayFolder="" measureGroup="Measure" count="0" hidden="1"/>
    <cacheHierarchy uniqueName="[Measures].[HeatRate BOM]" caption="HeatRate BOM" measure="1" displayFolder="" measureGroup="Measure" count="0" hidden="1"/>
    <cacheHierarchy uniqueName="[Measures].[Last 30 Calendar Days]" caption="Last 30 Calendar Days" measure="1" displayFolder="" measureGroup="Measure" count="0" hidden="1"/>
    <cacheHierarchy uniqueName="[Measures].[Copy of Official Marks]" caption="Copy of Official Marks" measure="1" displayFolder="" measureGroup="Measure" count="0" hidden="1"/>
    <cacheHierarchy uniqueName="[Measures].[Last 30 Days]" caption="Last 30 Days" measure="1" displayFolder="" measureGroup="Measure" count="0" hidden="1"/>
    <cacheHierarchy uniqueName="[Measures].[Last 90 Days]" caption="Last 90 Days" measure="1" displayFolder="" measureGroup="Measure" count="0" hidden="1"/>
    <cacheHierarchy uniqueName="[Measures].[Last 60 Days]" caption="Last 60 Days" measure="1" displayFolder="" measureGroup="Measure" count="0" hidden="1"/>
    <cacheHierarchy uniqueName="[Measures].[Last 120 Days]" caption="Last 120 Days" measure="1" displayFolder="" measureGroup="Measure" count="0" hidden="1"/>
    <cacheHierarchy uniqueName="[Measures].[Copy of Previous Marks]" caption="Copy of Previous Marks" measure="1" displayFolder="" measureGroup="Measure" count="0" hidden="1"/>
    <cacheHierarchy uniqueName="[Measures].[Prev_Last 90 Days]" caption="Prev_Last 90 Days" measure="1" displayFolder="" measureGroup="Measure" count="0" hidden="1"/>
    <cacheHierarchy uniqueName="[Measures].[Prev_Last 30 Days]" caption="Prev_Last 30 Days" measure="1" displayFolder="" measureGroup="Measure" count="0" hidden="1"/>
    <cacheHierarchy uniqueName="[Measures].[Prev_Last 60 Days]" caption="Prev_Last 60 Days" measure="1" displayFolder="" measureGroup="Measure" count="0" hidden="1"/>
    <cacheHierarchy uniqueName="[Measures].[Prev_Last 120 Days]" caption="Prev_Last 120 Days" measure="1" displayFolder="" measureGroup="Measure" count="0" hidden="1"/>
    <cacheHierarchy uniqueName="[Measures].[Last30Days_Prev_HR]" caption="Last30Days_Prev_HR" measure="1" displayFolder="" measureGroup="Measure" count="0" hidden="1"/>
    <cacheHierarchy uniqueName="[Measures].[Prev_HeatRate BOM]" caption="Prev_HeatRate BOM" measure="1" displayFolder="" measureGroup="Measure" count="0" hidden="1"/>
    <cacheHierarchy uniqueName="[Measures].[Last60Days_Prev_HR]" caption="Last60Days_Prev_HR" measure="1" displayFolder="" measureGroup="Measure" count="0" hidden="1"/>
    <cacheHierarchy uniqueName="[Measures].[Last90Days_Prev_HR]" caption="Last90Days_Prev_HR" measure="1" displayFolder="" measureGroup="Measure" count="0" hidden="1"/>
    <cacheHierarchy uniqueName="[Measures].[Last120Days_Prev_HR]" caption="Last120Days_Prev_HR" measure="1" displayFolder="" measureGroup="Measure" count="0" hidden="1"/>
    <cacheHierarchy uniqueName="[Measures].[Prev_SM_HR]" caption="Prev_SM_HR" measure="1" displayFolder="" measureGroup="Measure" count="0" hidden="1"/>
    <cacheHierarchy uniqueName="[Measures].[Last30Days_HR]" caption="Last30Days_HR" measure="1" displayFolder="" measureGroup="Measure" count="0" hidden="1"/>
    <cacheHierarchy uniqueName="[Measures].[Last60Days_HR]" caption="Last60Days_HR" measure="1" displayFolder="" measureGroup="Measure" count="0" hidden="1"/>
    <cacheHierarchy uniqueName="[Measures].[Last90Days_HR]" caption="Last90Days_HR" measure="1" displayFolder="" measureGroup="Measure" count="0" hidden="1"/>
    <cacheHierarchy uniqueName="[Measures].[Last120Days_HR]" caption="Last120Days_HR" measure="1" displayFolder="" measureGroup="Measure" count="0" hidden="1"/>
    <cacheHierarchy uniqueName="[Measures].[SM_HR]" caption="SM_HR" measure="1" displayFolder="" measureGroup="Measure" count="0" hidden="1"/>
    <cacheHierarchy uniqueName="[Measures].[Rolling 60 Months]" caption="Rolling 60 Months" measure="1" displayFolder="" measureGroup="Measure" count="0" hidden="1"/>
    <cacheHierarchy uniqueName="[Measures].[Rolling 36 Months]" caption="Rolling 36 Months" measure="1" displayFolder="" measureGroup="Measure" count="0" hidden="1"/>
    <cacheHierarchy uniqueName="[Measures].[Rolling 120 Months]" caption="Rolling 120 Months" measure="1" displayFolder="" measureGroup="Measure" count="0" hidden="1"/>
    <cacheHierarchy uniqueName="[Measures].[Prev Rolling 36 Months]" caption="Prev Rolling 36 Months" measure="1" displayFolder="" measureGroup="Measure" count="0" hidden="1"/>
    <cacheHierarchy uniqueName="[Measures].[Prev Rolling 60 Months]" caption="Prev Rolling 60 Months" measure="1" displayFolder="" measureGroup="Measure" count="0" hidden="1"/>
    <cacheHierarchy uniqueName="[Measures].[Prev Rolling 120 Months]" caption="Prev Rolling 120 Months" measure="1" displayFolder="" measureGroup="Measure" count="0" hidden="1"/>
    <cacheHierarchy uniqueName="[Measures].[Official Marks_RelativeDelivery]" caption="Official Marks_RelativeDelivery" measure="1" displayFolder="" measureGroup="Measure" count="0" hidden="1"/>
    <cacheHierarchy uniqueName="[Measures].[Previous Marks_RelativeDelivery]" caption="Previous Marks_RelativeDelivery" measure="1" displayFolder="" measureGroup="Measure" count="0" hidden="1"/>
    <cacheHierarchy uniqueName="[Measures].[Current Month_HR]" caption="Current Month_HR" measure="1" displayFolder="" measureGroup="Measure" count="0" hidden="1"/>
    <cacheHierarchy uniqueName="[Measures].[Sumas Heat Rate_RelativeDelivery]" caption="Sumas Heat Rate_RelativeDelivery" measure="1" displayFolder="" measureGroup="Measure" count="0" hidden="1"/>
    <cacheHierarchy uniqueName="[Measures].[Next 12 Full Months_HR]" caption="Next 12 Full Months_HR" measure="1" displayFolder="" measureGroup="Measure" count="0" hidden="1"/>
    <cacheHierarchy uniqueName="[Measures].[Rolling 24 Months_HR]" caption="Rolling 24 Months_HR" measure="1" displayFolder="" measureGroup="Measure" count="0" hidden="1"/>
    <cacheHierarchy uniqueName="[Measures].[Rolling Hedge Months 14 - 38_HR]" caption="Rolling Hedge Months 14 - 38_HR" measure="1" displayFolder="" measureGroup="Measure" count="0" hidden="1"/>
    <cacheHierarchy uniqueName="[Measures].[Rolling 36 Months_HR]" caption="Rolling 36 Months_HR" measure="1" displayFolder="" measureGroup="Measure" count="0" hidden="1"/>
    <cacheHierarchy uniqueName="[Measures].[Rolling 60 Months_HR]" caption="Rolling 60 Months_HR" measure="1" displayFolder="" measureGroup="Measure" count="0" hidden="1"/>
    <cacheHierarchy uniqueName="[Measures].[Rolling 120 Months_HR]" caption="Rolling 120 Months_HR" measure="1" displayFolder="" measureGroup="Measure" count="0" hidden="1"/>
    <cacheHierarchy uniqueName="[Measures].[Prev Current Month_HR]" caption="Prev Current Month_HR" measure="1" displayFolder="" measureGroup="Measure" count="0" hidden="1"/>
    <cacheHierarchy uniqueName="[Measures].[Prev Next 12 Full Months_HR]" caption="Prev Next 12 Full Months_HR" measure="1" displayFolder="" measureGroup="Measure" count="0" hidden="1"/>
    <cacheHierarchy uniqueName="[Measures].[Prev Rolling 24 Months_HR]" caption="Prev Rolling 24 Months_HR" measure="1" displayFolder="" measureGroup="Measure" count="0" hidden="1"/>
    <cacheHierarchy uniqueName="[Measures].[Prev Rolling Hedge Months 14 - 38_HR]" caption="Prev Rolling Hedge Months 14 - 38_HR" measure="1" displayFolder="" measureGroup="Measure" count="0" hidden="1"/>
    <cacheHierarchy uniqueName="[Measures].[Prev Rolling 36 Months_HR]" caption="Prev Rolling 36 Months_HR" measure="1" displayFolder="" measureGroup="Measure" count="0" hidden="1"/>
    <cacheHierarchy uniqueName="[Measures].[Prev Rolling 60 Months_HR]" caption="Prev Rolling 60 Months_HR" measure="1" displayFolder="" measureGroup="Measure" count="0" hidden="1"/>
    <cacheHierarchy uniqueName="[Measures].[Prev Rolling 120 Months_HR]" caption="Prev Rolling 120 Months_HR" measure="1" displayFolder="" measureGroup="Measure" count="0" hidden="1"/>
    <cacheHierarchy uniqueName="[Measures].[Previous Sumas Heat Rate_RelativeDelivery]" caption="Previous Sumas Heat Rate_RelativeDelivery" measure="1" displayFolder="" measureGroup="Measure" count="0" hidden="1"/>
    <cacheHierarchy uniqueName="[Measures].[__Default measure]" caption="__Default measure" measure="1" displayFolder="" count="0" hidden="1"/>
  </cacheHierarchies>
  <kpis count="0"/>
  <dimensions count="11">
    <dimension name="Commodity" uniqueName="[Commodity]" caption="Commodity"/>
    <dimension name="Curve Date" uniqueName="[Curve Date]" caption="Curve Date"/>
    <dimension name="Curve Date Filter" uniqueName="[Curve Date Filter]" caption="Curve Date Filter"/>
    <dimension name="Delivery Date" uniqueName="[Delivery Date]" caption="Delivery Date"/>
    <dimension name="Delivery Region" uniqueName="[Delivery Region]" caption="Delivery Region"/>
    <dimension name="Demand Profile" uniqueName="[Demand Profile]" caption="Demand Profile"/>
    <dimension measure="1" name="Measures" uniqueName="[Measures]" caption="Measures"/>
    <dimension name="Price Source" uniqueName="[Price Source]" caption="Price Source"/>
    <dimension name="Price Type" uniqueName="[Price Type]" caption="Price Type"/>
    <dimension name="Relative Curve Dates" uniqueName="[Relative Curve Dates]" caption="Relative Curve Dates"/>
    <dimension name="Relative Delivery Dates" uniqueName="[Relative Delivery Dates]" caption="Relative Delivery Dates"/>
  </dimensions>
  <measureGroups count="19">
    <measureGroup name="Commodity" caption="Commodity"/>
    <measureGroup name="Curve Date" caption="Curve Date"/>
    <measureGroup name="Curve Date Filter" caption="Curve Date Filter"/>
    <measureGroup name="Delivery Date" caption="Delivery Date"/>
    <measureGroup name="Delivery Region" caption="Delivery Region"/>
    <measureGroup name="Demand Profile" caption="Demand Profile"/>
    <measureGroup name="ICE_Power_Daily" caption="ICE_Power_Daily"/>
    <measureGroup name="Measure" caption="Measure"/>
    <measureGroup name="Platts_Gas_Daily" caption="Platts_Gas_Daily"/>
    <measureGroup name="Platts_Gas_Power_Months" caption="Platts_Gas_Power_Months"/>
    <measureGroup name="Platts_Monthly_Recovery" caption="Platts_Monthly_Recovery"/>
    <measureGroup name="Platts_MonthlyGasHistory" caption="Platts_MonthlyGasHistory"/>
    <measureGroup name="Platts_MonthlyPowerHistory" caption="Platts_MonthlyPowerHistory"/>
    <measureGroup name="Price Source" caption="Price Source"/>
    <measureGroup name="Price Type" caption="Price Type"/>
    <measureGroup name="PriceDataLoadTracker" caption="PriceDataLoadTracker"/>
    <measureGroup name="Relative Curve Dates" caption="Relative Curve Dates"/>
    <measureGroup name="Relative Delivery Dates" caption="Relative Delivery Dates"/>
    <measureGroup name="Tullett_Power_BOM_Daily" caption="Tullett_Power_BOM_Daily"/>
  </measureGroups>
  <maps count="29">
    <map measureGroup="0" dimension="0"/>
    <map measureGroup="1" dimension="0"/>
    <map measureGroup="1" dimension="1"/>
    <map measureGroup="1" dimension="3"/>
    <map measureGroup="1" dimension="4"/>
    <map measureGroup="1" dimension="5"/>
    <map measureGroup="1" dimension="7"/>
    <map measureGroup="1" dimension="8"/>
    <map measureGroup="2" dimension="2"/>
    <map measureGroup="3" dimension="0"/>
    <map measureGroup="3" dimension="1"/>
    <map measureGroup="3" dimension="3"/>
    <map measureGroup="3" dimension="4"/>
    <map measureGroup="3" dimension="5"/>
    <map measureGroup="3" dimension="7"/>
    <map measureGroup="3" dimension="8"/>
    <map measureGroup="4" dimension="4"/>
    <map measureGroup="5" dimension="5"/>
    <map measureGroup="7" dimension="0"/>
    <map measureGroup="7" dimension="1"/>
    <map measureGroup="7" dimension="3"/>
    <map measureGroup="7" dimension="4"/>
    <map measureGroup="7" dimension="5"/>
    <map measureGroup="7" dimension="7"/>
    <map measureGroup="7" dimension="8"/>
    <map measureGroup="13" dimension="7"/>
    <map measureGroup="14" dimension="8"/>
    <map measureGroup="16" dimension="9"/>
    <map measureGroup="17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6" cacheId="2" applyNumberFormats="0" applyBorderFormats="0" applyFontFormats="0" applyPatternFormats="0" applyAlignmentFormats="0" applyWidthHeightFormats="1" dataCaption="Values" updatedVersion="6" minRefreshableVersion="3" useAutoFormatting="1" subtotalHiddenItems="1" rowGrandTotals="0" colGrandTotals="0" itemPrintTitles="1" createdVersion="6" indent="0" outline="1" outlineData="1" multipleFieldFilters="0" fieldListSortAscending="1">
  <location ref="A11:M642" firstHeaderRow="1" firstDataRow="2" firstDataCol="1" rowPageCount="4" colPageCount="1"/>
  <pivotFields count="9">
    <pivotField dataField="1" showAll="0"/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63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t="default"/>
      </items>
    </pivotField>
    <pivotField axis="axisCol" allDrilled="1" showAll="0" dataSourceSort="1" defaultAttributeDrillState="1">
      <items count="13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t="default"/>
      </items>
    </pivotField>
    <pivotField axis="axisRow" allDrilled="1" showAll="0" dataSourceSort="1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Subtotal="0" defaultAttributeDrillState="1">
      <items count="3">
        <item s="1" x="0"/>
        <item s="1" x="1"/>
        <item s="1" x="2"/>
      </items>
    </pivotField>
  </pivotFields>
  <rowFields count="2">
    <field x="4"/>
    <field x="2"/>
  </rowFields>
  <rowItems count="63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</rowItems>
  <colFields count="1">
    <field x="3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pageFields count="4">
    <pageField fld="1" hier="0" name="[Commodity].[Commodity].&amp;[Gas]" cap="Gas"/>
    <pageField fld="5" hier="19" name="[Demand Profile].[Demand Profile].[All]" cap="All"/>
    <pageField fld="6" hier="20" name="[Price Source].[Price Source Name].&amp;[Platts]" cap="Platts"/>
    <pageField fld="7" hier="21" name="[Price Type].[Price Type Name].&amp;[Monthly]" cap="Monthly"/>
  </pageFields>
  <dataFields count="1">
    <dataField fld="0" baseField="0" baseItem="0"/>
  </dataFields>
  <pivotHierarchies count="254">
    <pivotHierarchy multipleItemSelectionAllowed="1">
      <members count="1" level="1">
        <member name="[Commodity].[Commodity].&amp;[Gas]"/>
      </members>
    </pivotHierarchy>
    <pivotHierarchy multipleItemSelectionAllowed="1">
      <members count="91" level="1">
        <member name=""/>
        <member name=""/>
        <member name=""/>
        <member name="[Curve Date].[Curve Date].&amp;[2023-06-10T00:00:00]"/>
        <member name="[Curve Date].[Curve Date].&amp;[2023-06-11T00:00:00]"/>
        <member name=""/>
        <member name=""/>
        <member name=""/>
        <member name=""/>
        <member name=""/>
        <member name="[Curve Date].[Curve Date].&amp;[2023-06-17T00:00:00]"/>
        <member name="[Curve Date].[Curve Date].&amp;[2023-06-18T00:00:00]"/>
        <member name="[Curve Date].[Curve Date].&amp;[2023-06-19T00:00:00]"/>
        <member name=""/>
        <member name=""/>
        <member name=""/>
        <member name=""/>
        <member name="[Curve Date].[Curve Date].&amp;[2023-06-24T00:00:00]"/>
        <member name="[Curve Date].[Curve Date].&amp;[2023-06-25T00:00:00]"/>
        <member name=""/>
        <member name=""/>
        <member name=""/>
        <member name=""/>
        <member name=""/>
        <member name="[Curve Date].[Curve Date].&amp;[2023-07-01T00:00:00]"/>
        <member name="[Curve Date].[Curve Date].&amp;[2023-07-02T00:00:00]"/>
        <member name=""/>
        <member name="[Curve Date].[Curve Date].&amp;[2023-07-04T00:00:00]"/>
        <member name=""/>
        <member name=""/>
        <member name=""/>
        <member name="[Curve Date].[Curve Date].&amp;[2023-07-08T00:00:00]"/>
        <member name="[Curve Date].[Curve Date].&amp;[2023-07-09T00:00:00]"/>
        <member name=""/>
        <member name=""/>
        <member name=""/>
        <member name=""/>
        <member name=""/>
        <member name="[Curve Date].[Curve Date].&amp;[2023-07-15T00:00:00]"/>
        <member name="[Curve Date].[Curve Date].&amp;[2023-07-16T00:00:00]"/>
        <member name=""/>
        <member name=""/>
        <member name=""/>
        <member name=""/>
        <member name=""/>
        <member name="[Curve Date].[Curve Date].&amp;[2023-07-22T00:00:00]"/>
        <member name="[Curve Date].[Curve Date].&amp;[2023-07-23T00:00:00]"/>
        <member name=""/>
        <member name=""/>
        <member name=""/>
        <member name=""/>
        <member name=""/>
        <member name="[Curve Date].[Curve Date].&amp;[2023-07-29T00:00:00]"/>
        <member name="[Curve Date].[Curve Date].&amp;[2023-07-30T00:00:00]"/>
        <member name=""/>
        <member name=""/>
        <member name=""/>
        <member name=""/>
        <member name=""/>
        <member name="[Curve Date].[Curve Date].&amp;[2023-08-05T00:00:00]"/>
        <member name="[Curve Date].[Curve Date].&amp;[2023-08-06T00:00:00]"/>
        <member name=""/>
        <member name=""/>
        <member name=""/>
        <member name=""/>
        <member name=""/>
        <member name="[Curve Date].[Curve Date].&amp;[2023-08-12T00:00:00]"/>
        <member name="[Curve Date].[Curve Date].&amp;[2023-08-13T00:00:00]"/>
        <member name=""/>
        <member name=""/>
        <member name=""/>
        <member name=""/>
        <member name=""/>
        <member name="[Curve Date].[Curve Date].&amp;[2023-08-19T00:00:00]"/>
        <member name="[Curve Date].[Curve Date].&amp;[2023-08-20T00:00:00]"/>
        <member name=""/>
        <member name=""/>
        <member name=""/>
        <member name=""/>
        <member name=""/>
        <member name="[Curve Date].[Curve Date].&amp;[2023-08-26T00:00:00]"/>
        <member name="[Curve Date].[Curve Date].&amp;[2023-08-27T00:00:00]"/>
        <member name=""/>
        <member name=""/>
        <member name=""/>
        <member name=""/>
        <member name=""/>
        <member name="[Curve Date].[Curve Date].&amp;[2023-09-02T00:00:00]"/>
        <member name="[Curve Date].[Curve Date].&amp;[2023-09-03T00:00:00]"/>
        <member name="[Curve Date].[Curve Date].&amp;[2023-09-04T00:00:00]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>
      <members count="1" level="1">
        <member name="[Price Source].[Price Source Name].&amp;[Platts]"/>
      </members>
    </pivotHierarchy>
    <pivotHierarchy multipleItemSelectionAllowed="1">
      <members count="1" level="1">
        <member name="[Price Type].[Price Type Name].&amp;[Monthly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8"/>
    <rowHierarchyUsage hierarchyUsage="1"/>
  </rowHierarchiesUsage>
  <colHierarchiesUsage count="1">
    <colHierarchyUsage hierarchyUsage="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4C88-F973-4D57-9357-9663F659D5A4}">
  <sheetPr>
    <pageSetUpPr fitToPage="1"/>
  </sheetPr>
  <dimension ref="A2"/>
  <sheetViews>
    <sheetView tabSelected="1" zoomScaleNormal="100" workbookViewId="0">
      <selection activeCell="V19" sqref="V19"/>
    </sheetView>
  </sheetViews>
  <sheetFormatPr defaultColWidth="9.140625" defaultRowHeight="12.75"/>
  <cols>
    <col min="1" max="16384" width="9.140625" style="130"/>
  </cols>
  <sheetData>
    <row r="2" spans="1:1" ht="15.75">
      <c r="A2" s="129" t="s">
        <v>1014</v>
      </c>
    </row>
  </sheetData>
  <pageMargins left="0.75" right="0.75" top="1" bottom="1" header="0.5" footer="0.5"/>
  <pageSetup orientation="landscape" horizontalDpi="300" verticalDpi="300" r:id="rId1"/>
  <headerFooter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42"/>
  <sheetViews>
    <sheetView workbookViewId="0">
      <selection activeCell="K15" sqref="K15"/>
    </sheetView>
  </sheetViews>
  <sheetFormatPr defaultRowHeight="15"/>
  <cols>
    <col min="1" max="1" width="17.85546875" customWidth="1"/>
    <col min="2" max="2" width="16.28515625" customWidth="1"/>
    <col min="3" max="3" width="9.140625" customWidth="1"/>
    <col min="4" max="4" width="9.42578125" customWidth="1"/>
    <col min="5" max="5" width="9" customWidth="1"/>
    <col min="6" max="6" width="9.7109375" customWidth="1"/>
    <col min="7" max="7" width="8.85546875" customWidth="1"/>
    <col min="8" max="8" width="8.28515625" customWidth="1"/>
    <col min="9" max="9" width="9.28515625" customWidth="1"/>
    <col min="10" max="10" width="9.140625" customWidth="1"/>
    <col min="11" max="11" width="8.85546875" customWidth="1"/>
    <col min="12" max="12" width="9.42578125" customWidth="1"/>
    <col min="13" max="13" width="9.140625" customWidth="1"/>
    <col min="14" max="14" width="8.28515625" customWidth="1"/>
    <col min="15" max="15" width="9.28515625" customWidth="1"/>
    <col min="16" max="16" width="9.140625" customWidth="1"/>
    <col min="17" max="17" width="8.85546875" customWidth="1"/>
    <col min="18" max="18" width="9.42578125" customWidth="1"/>
    <col min="19" max="19" width="9.140625" customWidth="1"/>
    <col min="20" max="20" width="8.7109375" customWidth="1"/>
    <col min="21" max="21" width="9.140625" customWidth="1"/>
    <col min="22" max="22" width="9.42578125" customWidth="1"/>
    <col min="23" max="23" width="9" customWidth="1"/>
    <col min="24" max="24" width="9.7109375" customWidth="1"/>
    <col min="25" max="25" width="8.85546875" customWidth="1"/>
    <col min="26" max="26" width="8.28515625" customWidth="1"/>
    <col min="27" max="27" width="9.28515625" customWidth="1"/>
    <col min="28" max="28" width="9.140625" customWidth="1"/>
    <col min="29" max="29" width="8.85546875" customWidth="1"/>
    <col min="30" max="30" width="9.42578125" customWidth="1"/>
    <col min="31" max="31" width="9.140625" customWidth="1"/>
    <col min="32" max="32" width="8.28515625" customWidth="1"/>
    <col min="33" max="33" width="9.28515625" customWidth="1"/>
    <col min="34" max="34" width="9.140625" customWidth="1"/>
    <col min="35" max="35" width="8.85546875" customWidth="1"/>
    <col min="36" max="36" width="9.42578125" customWidth="1"/>
    <col min="37" max="37" width="9.140625" customWidth="1"/>
    <col min="38" max="38" width="8.5703125" customWidth="1"/>
    <col min="39" max="39" width="9.28515625" customWidth="1"/>
    <col min="40" max="40" width="8.42578125" customWidth="1"/>
    <col min="41" max="41" width="7.85546875" customWidth="1"/>
    <col min="42" max="42" width="8.85546875" customWidth="1"/>
    <col min="43" max="44" width="8.5703125" customWidth="1"/>
    <col min="45" max="45" width="8.85546875" customWidth="1"/>
    <col min="46" max="46" width="8.7109375" customWidth="1"/>
    <col min="47" max="47" width="8.42578125" customWidth="1"/>
    <col min="48" max="48" width="8.5703125" customWidth="1"/>
    <col min="49" max="49" width="9.140625" customWidth="1"/>
    <col min="50" max="50" width="8.5703125" customWidth="1"/>
    <col min="51" max="51" width="9.28515625" customWidth="1"/>
    <col min="52" max="52" width="8.42578125" customWidth="1"/>
    <col min="53" max="53" width="7.85546875" customWidth="1"/>
    <col min="54" max="54" width="8.85546875" customWidth="1"/>
    <col min="55" max="56" width="8.5703125" customWidth="1"/>
    <col min="57" max="57" width="8.85546875" customWidth="1"/>
    <col min="58" max="58" width="8.7109375" customWidth="1"/>
    <col min="59" max="59" width="8.42578125" customWidth="1"/>
    <col min="60" max="60" width="8.5703125" customWidth="1"/>
    <col min="61" max="61" width="9.140625" customWidth="1"/>
    <col min="62" max="62" width="8.5703125" customWidth="1"/>
    <col min="63" max="63" width="9.28515625" customWidth="1"/>
    <col min="64" max="64" width="8.42578125" customWidth="1"/>
    <col min="65" max="65" width="7.85546875" customWidth="1"/>
    <col min="66" max="66" width="8.85546875" customWidth="1"/>
    <col min="67" max="68" width="8.5703125" customWidth="1"/>
    <col min="69" max="69" width="8.85546875" customWidth="1"/>
    <col min="70" max="70" width="8.7109375" customWidth="1"/>
    <col min="71" max="71" width="8.42578125" customWidth="1"/>
    <col min="72" max="72" width="8.5703125" customWidth="1"/>
    <col min="73" max="73" width="9.140625" customWidth="1"/>
    <col min="74" max="74" width="8.5703125" customWidth="1"/>
    <col min="75" max="75" width="9.28515625" customWidth="1"/>
    <col min="76" max="76" width="8.42578125" customWidth="1"/>
    <col min="77" max="77" width="7.85546875" customWidth="1"/>
    <col min="78" max="78" width="8.85546875" customWidth="1"/>
    <col min="79" max="80" width="8.5703125" customWidth="1"/>
    <col min="81" max="81" width="8.85546875" customWidth="1"/>
    <col min="82" max="82" width="8.7109375" customWidth="1"/>
    <col min="83" max="83" width="8.42578125" customWidth="1"/>
    <col min="84" max="84" width="8.5703125" customWidth="1"/>
    <col min="85" max="85" width="9.140625" customWidth="1"/>
    <col min="86" max="86" width="8.5703125" customWidth="1"/>
    <col min="87" max="87" width="9.28515625" customWidth="1"/>
    <col min="88" max="88" width="8.42578125" customWidth="1"/>
    <col min="89" max="89" width="7.85546875" customWidth="1"/>
    <col min="90" max="90" width="8.85546875" customWidth="1"/>
    <col min="91" max="92" width="8.5703125" customWidth="1"/>
    <col min="93" max="93" width="8.85546875" customWidth="1"/>
    <col min="94" max="94" width="8.7109375" customWidth="1"/>
    <col min="95" max="95" width="8.42578125" customWidth="1"/>
    <col min="96" max="96" width="8.5703125" customWidth="1"/>
    <col min="97" max="97" width="9.140625" customWidth="1"/>
    <col min="98" max="98" width="8.5703125" customWidth="1"/>
    <col min="99" max="99" width="9.28515625" customWidth="1"/>
    <col min="100" max="100" width="8.42578125" customWidth="1"/>
    <col min="101" max="101" width="7.85546875" customWidth="1"/>
    <col min="102" max="102" width="8.85546875" customWidth="1"/>
    <col min="103" max="104" width="8.5703125" customWidth="1"/>
    <col min="105" max="105" width="8.85546875" customWidth="1"/>
    <col min="106" max="106" width="8.7109375" customWidth="1"/>
    <col min="107" max="107" width="8.42578125" customWidth="1"/>
    <col min="108" max="108" width="8.5703125" customWidth="1"/>
    <col min="109" max="109" width="9.140625" customWidth="1"/>
    <col min="110" max="110" width="8.5703125" customWidth="1"/>
    <col min="111" max="111" width="9.28515625" customWidth="1"/>
    <col min="112" max="112" width="8.42578125" customWidth="1"/>
    <col min="113" max="113" width="7.85546875" customWidth="1"/>
    <col min="114" max="114" width="8.85546875" customWidth="1"/>
    <col min="115" max="116" width="8.5703125" customWidth="1"/>
    <col min="117" max="117" width="8.85546875" customWidth="1"/>
    <col min="118" max="118" width="8.7109375" customWidth="1"/>
    <col min="119" max="119" width="8.42578125" customWidth="1"/>
    <col min="120" max="120" width="8.5703125" customWidth="1"/>
    <col min="121" max="121" width="9.140625" customWidth="1"/>
    <col min="122" max="122" width="8.5703125" customWidth="1"/>
    <col min="123" max="123" width="9.28515625" customWidth="1"/>
    <col min="124" max="124" width="8.5703125" customWidth="1"/>
    <col min="125" max="126" width="10.7109375" customWidth="1"/>
    <col min="127" max="127" width="7.85546875" customWidth="1"/>
    <col min="128" max="128" width="8.85546875" customWidth="1"/>
    <col min="129" max="130" width="8.5703125" customWidth="1"/>
    <col min="131" max="131" width="8.85546875" customWidth="1"/>
    <col min="132" max="132" width="10.7109375" customWidth="1"/>
    <col min="133" max="133" width="14.28515625" bestFit="1" customWidth="1"/>
    <col min="134" max="134" width="11.28515625" bestFit="1" customWidth="1"/>
    <col min="135" max="135" width="14.28515625" bestFit="1" customWidth="1"/>
    <col min="136" max="136" width="11.28515625" bestFit="1" customWidth="1"/>
    <col min="137" max="137" width="14.28515625" bestFit="1" customWidth="1"/>
    <col min="138" max="138" width="11.28515625" bestFit="1" customWidth="1"/>
    <col min="139" max="139" width="14.28515625" bestFit="1" customWidth="1"/>
    <col min="140" max="140" width="11.28515625" bestFit="1" customWidth="1"/>
    <col min="141" max="141" width="14.28515625" customWidth="1"/>
    <col min="142" max="142" width="11.28515625" customWidth="1"/>
    <col min="143" max="143" width="14.28515625" customWidth="1"/>
    <col min="144" max="144" width="11.28515625" customWidth="1"/>
    <col min="145" max="145" width="14.28515625" customWidth="1"/>
    <col min="146" max="146" width="11.28515625" customWidth="1"/>
    <col min="147" max="147" width="14.28515625" customWidth="1"/>
    <col min="148" max="148" width="11.28515625" customWidth="1"/>
    <col min="149" max="149" width="14.28515625" customWidth="1"/>
    <col min="150" max="150" width="11.28515625" bestFit="1" customWidth="1"/>
    <col min="151" max="151" width="14.28515625" bestFit="1" customWidth="1"/>
    <col min="152" max="152" width="11.28515625" bestFit="1" customWidth="1"/>
    <col min="153" max="153" width="14.28515625" bestFit="1" customWidth="1"/>
    <col min="154" max="154" width="11.28515625" bestFit="1" customWidth="1"/>
    <col min="155" max="155" width="14.28515625" bestFit="1" customWidth="1"/>
    <col min="156" max="156" width="11.28515625" bestFit="1" customWidth="1"/>
    <col min="157" max="157" width="14.28515625" bestFit="1" customWidth="1"/>
    <col min="158" max="158" width="10.28515625" bestFit="1" customWidth="1"/>
    <col min="159" max="159" width="13.28515625" bestFit="1" customWidth="1"/>
    <col min="160" max="160" width="10.28515625" bestFit="1" customWidth="1"/>
    <col min="161" max="161" width="13.28515625" bestFit="1" customWidth="1"/>
    <col min="162" max="162" width="10.28515625" bestFit="1" customWidth="1"/>
    <col min="163" max="163" width="13.28515625" bestFit="1" customWidth="1"/>
    <col min="164" max="164" width="10.28515625" bestFit="1" customWidth="1"/>
    <col min="165" max="165" width="13.28515625" bestFit="1" customWidth="1"/>
    <col min="166" max="166" width="10.28515625" bestFit="1" customWidth="1"/>
    <col min="167" max="167" width="13.28515625" bestFit="1" customWidth="1"/>
    <col min="168" max="168" width="10.28515625" bestFit="1" customWidth="1"/>
    <col min="169" max="169" width="13.28515625" bestFit="1" customWidth="1"/>
    <col min="170" max="170" width="10.28515625" bestFit="1" customWidth="1"/>
    <col min="171" max="171" width="13.28515625" bestFit="1" customWidth="1"/>
    <col min="172" max="172" width="10.28515625" customWidth="1"/>
    <col min="173" max="173" width="13.28515625" customWidth="1"/>
    <col min="174" max="174" width="10.28515625" customWidth="1"/>
    <col min="175" max="175" width="13.28515625" customWidth="1"/>
    <col min="176" max="176" width="11.28515625" customWidth="1"/>
    <col min="177" max="177" width="14.28515625" customWidth="1"/>
    <col min="178" max="178" width="11.28515625" customWidth="1"/>
    <col min="179" max="179" width="14.28515625" customWidth="1"/>
    <col min="180" max="180" width="11.28515625" customWidth="1"/>
    <col min="181" max="181" width="14.28515625" bestFit="1" customWidth="1"/>
    <col min="182" max="182" width="11.28515625" bestFit="1" customWidth="1"/>
    <col min="183" max="183" width="14.28515625" bestFit="1" customWidth="1"/>
    <col min="184" max="184" width="11.28515625" bestFit="1" customWidth="1"/>
    <col min="185" max="185" width="14.28515625" bestFit="1" customWidth="1"/>
    <col min="186" max="186" width="11.28515625" bestFit="1" customWidth="1"/>
    <col min="187" max="187" width="14.28515625" bestFit="1" customWidth="1"/>
    <col min="188" max="188" width="11.28515625" bestFit="1" customWidth="1"/>
    <col min="189" max="189" width="14.28515625" bestFit="1" customWidth="1"/>
    <col min="190" max="190" width="11.28515625" bestFit="1" customWidth="1"/>
    <col min="191" max="191" width="14.28515625" bestFit="1" customWidth="1"/>
    <col min="192" max="192" width="11.28515625" bestFit="1" customWidth="1"/>
    <col min="193" max="193" width="14.28515625" bestFit="1" customWidth="1"/>
    <col min="194" max="194" width="11.28515625" bestFit="1" customWidth="1"/>
    <col min="195" max="195" width="14.28515625" bestFit="1" customWidth="1"/>
    <col min="196" max="196" width="11.28515625" bestFit="1" customWidth="1"/>
    <col min="197" max="197" width="14.28515625" bestFit="1" customWidth="1"/>
    <col min="198" max="198" width="11.28515625" bestFit="1" customWidth="1"/>
    <col min="199" max="199" width="14.28515625" bestFit="1" customWidth="1"/>
    <col min="200" max="200" width="11.28515625" bestFit="1" customWidth="1"/>
    <col min="201" max="201" width="14.28515625" bestFit="1" customWidth="1"/>
    <col min="202" max="202" width="11.28515625" bestFit="1" customWidth="1"/>
    <col min="203" max="203" width="14.28515625" customWidth="1"/>
    <col min="204" max="204" width="11.28515625" customWidth="1"/>
    <col min="205" max="205" width="14.28515625" customWidth="1"/>
    <col min="206" max="206" width="11.28515625" customWidth="1"/>
    <col min="207" max="207" width="14.28515625" customWidth="1"/>
    <col min="208" max="208" width="11.28515625" customWidth="1"/>
    <col min="209" max="209" width="14.28515625" customWidth="1"/>
    <col min="210" max="210" width="11.28515625" customWidth="1"/>
    <col min="211" max="211" width="14.28515625" customWidth="1"/>
    <col min="212" max="212" width="11.28515625" bestFit="1" customWidth="1"/>
    <col min="213" max="213" width="14.28515625" bestFit="1" customWidth="1"/>
    <col min="214" max="214" width="11.28515625" bestFit="1" customWidth="1"/>
    <col min="215" max="215" width="14.28515625" bestFit="1" customWidth="1"/>
    <col min="216" max="216" width="11.28515625" bestFit="1" customWidth="1"/>
    <col min="217" max="217" width="14.28515625" bestFit="1" customWidth="1"/>
    <col min="218" max="218" width="11.28515625" bestFit="1" customWidth="1"/>
    <col min="219" max="219" width="14.28515625" bestFit="1" customWidth="1"/>
    <col min="220" max="220" width="10.28515625" bestFit="1" customWidth="1"/>
    <col min="221" max="221" width="13.28515625" bestFit="1" customWidth="1"/>
    <col min="222" max="222" width="10.28515625" bestFit="1" customWidth="1"/>
    <col min="223" max="223" width="13.28515625" bestFit="1" customWidth="1"/>
    <col min="224" max="224" width="10.28515625" bestFit="1" customWidth="1"/>
    <col min="225" max="225" width="13.28515625" bestFit="1" customWidth="1"/>
    <col min="226" max="226" width="10.28515625" bestFit="1" customWidth="1"/>
    <col min="227" max="227" width="13.28515625" bestFit="1" customWidth="1"/>
    <col min="228" max="228" width="10.28515625" bestFit="1" customWidth="1"/>
    <col min="229" max="229" width="13.28515625" bestFit="1" customWidth="1"/>
    <col min="230" max="230" width="10.28515625" bestFit="1" customWidth="1"/>
    <col min="231" max="231" width="13.28515625" bestFit="1" customWidth="1"/>
    <col min="232" max="232" width="10.28515625" bestFit="1" customWidth="1"/>
    <col min="233" max="233" width="13.28515625" bestFit="1" customWidth="1"/>
    <col min="234" max="234" width="10.28515625" bestFit="1" customWidth="1"/>
    <col min="235" max="235" width="13.28515625" bestFit="1" customWidth="1"/>
    <col min="236" max="236" width="10.28515625" bestFit="1" customWidth="1"/>
    <col min="237" max="237" width="13.28515625" bestFit="1" customWidth="1"/>
    <col min="238" max="238" width="11.28515625" bestFit="1" customWidth="1"/>
    <col min="239" max="239" width="14.28515625" bestFit="1" customWidth="1"/>
    <col min="240" max="240" width="11.28515625" bestFit="1" customWidth="1"/>
    <col min="241" max="241" width="14.28515625" bestFit="1" customWidth="1"/>
    <col min="242" max="242" width="11.28515625" bestFit="1" customWidth="1"/>
    <col min="243" max="243" width="14.28515625" bestFit="1" customWidth="1"/>
    <col min="244" max="244" width="11.28515625" bestFit="1" customWidth="1"/>
    <col min="245" max="245" width="14.28515625" bestFit="1" customWidth="1"/>
    <col min="246" max="246" width="11.28515625" bestFit="1" customWidth="1"/>
    <col min="247" max="247" width="14.28515625" bestFit="1" customWidth="1"/>
    <col min="248" max="248" width="11.28515625" bestFit="1" customWidth="1"/>
    <col min="249" max="249" width="14.28515625" bestFit="1" customWidth="1"/>
    <col min="250" max="250" width="11.28515625" bestFit="1" customWidth="1"/>
    <col min="251" max="251" width="14.28515625" bestFit="1" customWidth="1"/>
    <col min="252" max="252" width="11.28515625" bestFit="1" customWidth="1"/>
    <col min="253" max="253" width="14.28515625" bestFit="1" customWidth="1"/>
    <col min="254" max="254" width="11.28515625" bestFit="1" customWidth="1"/>
    <col min="255" max="255" width="14.28515625" bestFit="1" customWidth="1"/>
    <col min="256" max="256" width="11.28515625" bestFit="1" customWidth="1"/>
    <col min="257" max="257" width="14.28515625" bestFit="1" customWidth="1"/>
    <col min="258" max="258" width="11.28515625" bestFit="1" customWidth="1"/>
    <col min="259" max="259" width="14.28515625" bestFit="1" customWidth="1"/>
    <col min="260" max="260" width="11.28515625" bestFit="1" customWidth="1"/>
    <col min="261" max="261" width="14.28515625" bestFit="1" customWidth="1"/>
    <col min="262" max="262" width="11.28515625" bestFit="1" customWidth="1"/>
    <col min="263" max="263" width="14.28515625" bestFit="1" customWidth="1"/>
    <col min="264" max="264" width="11.28515625" bestFit="1" customWidth="1"/>
    <col min="265" max="265" width="14.28515625" customWidth="1"/>
    <col min="266" max="266" width="11.28515625" customWidth="1"/>
    <col min="267" max="267" width="14.28515625" customWidth="1"/>
    <col min="268" max="268" width="11.28515625" customWidth="1"/>
    <col min="269" max="269" width="14.28515625" customWidth="1"/>
    <col min="270" max="270" width="11.28515625" customWidth="1"/>
    <col min="271" max="271" width="14.28515625" customWidth="1"/>
    <col min="272" max="272" width="11.28515625" customWidth="1"/>
    <col min="273" max="273" width="14.28515625" customWidth="1"/>
    <col min="274" max="274" width="11.28515625" bestFit="1" customWidth="1"/>
    <col min="275" max="275" width="14.28515625" bestFit="1" customWidth="1"/>
    <col min="276" max="276" width="11.28515625" bestFit="1" customWidth="1"/>
    <col min="277" max="277" width="14.28515625" customWidth="1"/>
    <col min="278" max="278" width="11.28515625" customWidth="1"/>
    <col min="279" max="279" width="14.28515625" customWidth="1"/>
    <col min="280" max="280" width="10.28515625" customWidth="1"/>
    <col min="281" max="281" width="13.28515625" customWidth="1"/>
    <col min="282" max="282" width="10.28515625" customWidth="1"/>
    <col min="283" max="283" width="13.28515625" customWidth="1"/>
    <col min="284" max="284" width="10.28515625" customWidth="1"/>
    <col min="285" max="285" width="13.28515625" customWidth="1"/>
    <col min="286" max="286" width="10.28515625" bestFit="1" customWidth="1"/>
    <col min="287" max="287" width="13.28515625" bestFit="1" customWidth="1"/>
    <col min="288" max="288" width="10.28515625" bestFit="1" customWidth="1"/>
    <col min="289" max="289" width="13.28515625" customWidth="1"/>
    <col min="290" max="290" width="10.28515625" customWidth="1"/>
    <col min="291" max="291" width="13.28515625" customWidth="1"/>
    <col min="292" max="292" width="10.28515625" customWidth="1"/>
    <col min="293" max="293" width="13.28515625" customWidth="1"/>
    <col min="294" max="294" width="10.28515625" customWidth="1"/>
    <col min="295" max="295" width="13.28515625" customWidth="1"/>
    <col min="296" max="296" width="10.28515625" customWidth="1"/>
    <col min="297" max="297" width="13.28515625" customWidth="1"/>
    <col min="298" max="298" width="11.28515625" bestFit="1" customWidth="1"/>
    <col min="299" max="299" width="14.28515625" bestFit="1" customWidth="1"/>
    <col min="300" max="300" width="11.28515625" bestFit="1" customWidth="1"/>
    <col min="301" max="301" width="14.28515625" customWidth="1"/>
    <col min="302" max="302" width="11.28515625" customWidth="1"/>
    <col min="303" max="303" width="14.28515625" customWidth="1"/>
    <col min="304" max="304" width="11.28515625" customWidth="1"/>
    <col min="305" max="305" width="14.28515625" customWidth="1"/>
    <col min="306" max="306" width="11.28515625" customWidth="1"/>
    <col min="307" max="307" width="14.28515625" customWidth="1"/>
    <col min="308" max="308" width="11.28515625" customWidth="1"/>
    <col min="309" max="309" width="14.28515625" customWidth="1"/>
    <col min="310" max="310" width="11.28515625" bestFit="1" customWidth="1"/>
    <col min="311" max="311" width="14.28515625" bestFit="1" customWidth="1"/>
    <col min="312" max="312" width="11.28515625" bestFit="1" customWidth="1"/>
    <col min="313" max="313" width="14.28515625" customWidth="1"/>
    <col min="314" max="314" width="11.28515625" customWidth="1"/>
    <col min="315" max="315" width="14.28515625" customWidth="1"/>
    <col min="316" max="316" width="11.28515625" customWidth="1"/>
    <col min="317" max="317" width="14.28515625" customWidth="1"/>
    <col min="318" max="318" width="11.28515625" customWidth="1"/>
    <col min="319" max="319" width="14.28515625" customWidth="1"/>
    <col min="320" max="320" width="11.28515625" customWidth="1"/>
    <col min="321" max="321" width="14.28515625" customWidth="1"/>
    <col min="322" max="322" width="11.28515625" bestFit="1" customWidth="1"/>
    <col min="323" max="323" width="14.28515625" bestFit="1" customWidth="1"/>
    <col min="324" max="324" width="11.28515625" bestFit="1" customWidth="1"/>
    <col min="325" max="325" width="14.28515625" customWidth="1"/>
    <col min="326" max="326" width="11.28515625" customWidth="1"/>
    <col min="327" max="327" width="14.28515625" customWidth="1"/>
    <col min="328" max="328" width="11.28515625" customWidth="1"/>
    <col min="329" max="329" width="14.28515625" customWidth="1"/>
    <col min="330" max="330" width="11.28515625" customWidth="1"/>
    <col min="331" max="331" width="14.28515625" customWidth="1"/>
    <col min="332" max="332" width="11.28515625" customWidth="1"/>
    <col min="333" max="333" width="14.28515625" customWidth="1"/>
    <col min="334" max="334" width="11.28515625" bestFit="1" customWidth="1"/>
    <col min="335" max="335" width="14.28515625" bestFit="1" customWidth="1"/>
    <col min="336" max="336" width="11.28515625" bestFit="1" customWidth="1"/>
    <col min="337" max="337" width="14.28515625" customWidth="1"/>
    <col min="338" max="338" width="11.28515625" customWidth="1"/>
    <col min="339" max="339" width="14.28515625" customWidth="1"/>
    <col min="340" max="340" width="11.28515625" customWidth="1"/>
    <col min="341" max="341" width="14.28515625" customWidth="1"/>
    <col min="342" max="342" width="10.28515625" customWidth="1"/>
    <col min="343" max="343" width="13.28515625" customWidth="1"/>
    <col min="344" max="344" width="10.28515625" customWidth="1"/>
    <col min="345" max="345" width="13.28515625" customWidth="1"/>
    <col min="346" max="346" width="10.28515625" bestFit="1" customWidth="1"/>
    <col min="347" max="347" width="13.28515625" bestFit="1" customWidth="1"/>
    <col min="348" max="348" width="10.28515625" bestFit="1" customWidth="1"/>
    <col min="349" max="349" width="13.28515625" customWidth="1"/>
    <col min="350" max="350" width="10.28515625" customWidth="1"/>
    <col min="351" max="351" width="13.28515625" customWidth="1"/>
    <col min="352" max="352" width="10.28515625" customWidth="1"/>
    <col min="353" max="353" width="13.28515625" customWidth="1"/>
    <col min="354" max="354" width="10.28515625" customWidth="1"/>
    <col min="355" max="355" width="13.28515625" customWidth="1"/>
    <col min="356" max="356" width="10.28515625" customWidth="1"/>
    <col min="357" max="357" width="13.28515625" customWidth="1"/>
    <col min="358" max="358" width="10.28515625" bestFit="1" customWidth="1"/>
    <col min="359" max="359" width="13.28515625" bestFit="1" customWidth="1"/>
    <col min="360" max="360" width="11.28515625" bestFit="1" customWidth="1"/>
    <col min="361" max="361" width="14.28515625" customWidth="1"/>
    <col min="362" max="362" width="11.28515625" customWidth="1"/>
    <col min="363" max="363" width="14.28515625" customWidth="1"/>
    <col min="364" max="364" width="11.28515625" customWidth="1"/>
    <col min="365" max="365" width="14.28515625" customWidth="1"/>
    <col min="366" max="366" width="11.28515625" customWidth="1"/>
    <col min="367" max="367" width="14.28515625" customWidth="1"/>
    <col min="368" max="368" width="11.28515625" customWidth="1"/>
    <col min="369" max="369" width="14.28515625" customWidth="1"/>
    <col min="370" max="370" width="11.28515625" bestFit="1" customWidth="1"/>
    <col min="371" max="371" width="14.28515625" bestFit="1" customWidth="1"/>
    <col min="372" max="372" width="11.28515625" bestFit="1" customWidth="1"/>
    <col min="373" max="373" width="14.28515625" customWidth="1"/>
    <col min="374" max="374" width="11.28515625" customWidth="1"/>
    <col min="375" max="375" width="14.28515625" customWidth="1"/>
    <col min="376" max="376" width="11.28515625" customWidth="1"/>
    <col min="377" max="377" width="14.28515625" customWidth="1"/>
    <col min="378" max="378" width="11.28515625" customWidth="1"/>
    <col min="379" max="379" width="14.28515625" customWidth="1"/>
    <col min="380" max="380" width="11.28515625" customWidth="1"/>
    <col min="381" max="381" width="14.28515625" customWidth="1"/>
    <col min="382" max="382" width="11.28515625" bestFit="1" customWidth="1"/>
    <col min="383" max="383" width="14.28515625" bestFit="1" customWidth="1"/>
    <col min="384" max="384" width="11.28515625" bestFit="1" customWidth="1"/>
    <col min="385" max="385" width="14.28515625" bestFit="1" customWidth="1"/>
    <col min="386" max="386" width="11.28515625" bestFit="1" customWidth="1"/>
    <col min="387" max="387" width="14.28515625" bestFit="1" customWidth="1"/>
    <col min="388" max="388" width="11.28515625" bestFit="1" customWidth="1"/>
    <col min="389" max="389" width="14.28515625" bestFit="1" customWidth="1"/>
    <col min="390" max="390" width="11.28515625" bestFit="1" customWidth="1"/>
    <col min="391" max="391" width="14.28515625" bestFit="1" customWidth="1"/>
    <col min="392" max="392" width="11.28515625" bestFit="1" customWidth="1"/>
    <col min="393" max="393" width="14.28515625" bestFit="1" customWidth="1"/>
    <col min="394" max="394" width="11.28515625" bestFit="1" customWidth="1"/>
    <col min="395" max="395" width="14.28515625" bestFit="1" customWidth="1"/>
    <col min="396" max="396" width="11.28515625" bestFit="1" customWidth="1"/>
    <col min="397" max="397" width="14.28515625" bestFit="1" customWidth="1"/>
    <col min="398" max="398" width="11.28515625" bestFit="1" customWidth="1"/>
    <col min="399" max="399" width="14.28515625" bestFit="1" customWidth="1"/>
    <col min="400" max="400" width="11.28515625" bestFit="1" customWidth="1"/>
    <col min="401" max="401" width="14.28515625" bestFit="1" customWidth="1"/>
    <col min="402" max="402" width="11.28515625" bestFit="1" customWidth="1"/>
    <col min="403" max="403" width="14.28515625" bestFit="1" customWidth="1"/>
    <col min="404" max="404" width="10.28515625" bestFit="1" customWidth="1"/>
    <col min="405" max="405" width="13.28515625" bestFit="1" customWidth="1"/>
    <col min="406" max="406" width="10.28515625" bestFit="1" customWidth="1"/>
    <col min="407" max="407" width="13.28515625" bestFit="1" customWidth="1"/>
    <col min="408" max="408" width="10.28515625" bestFit="1" customWidth="1"/>
    <col min="409" max="409" width="13.28515625" bestFit="1" customWidth="1"/>
    <col min="410" max="410" width="10.28515625" bestFit="1" customWidth="1"/>
    <col min="411" max="411" width="13.28515625" bestFit="1" customWidth="1"/>
    <col min="412" max="412" width="10.28515625" bestFit="1" customWidth="1"/>
    <col min="413" max="413" width="13.28515625" bestFit="1" customWidth="1"/>
    <col min="414" max="414" width="10.28515625" bestFit="1" customWidth="1"/>
    <col min="415" max="415" width="13.28515625" bestFit="1" customWidth="1"/>
    <col min="416" max="416" width="10.28515625" bestFit="1" customWidth="1"/>
    <col min="417" max="417" width="13.28515625" bestFit="1" customWidth="1"/>
    <col min="418" max="418" width="10.28515625" bestFit="1" customWidth="1"/>
    <col min="419" max="419" width="13.28515625" bestFit="1" customWidth="1"/>
    <col min="420" max="420" width="10.28515625" bestFit="1" customWidth="1"/>
    <col min="421" max="421" width="13.28515625" bestFit="1" customWidth="1"/>
    <col min="422" max="422" width="11.28515625" bestFit="1" customWidth="1"/>
    <col min="423" max="423" width="14.28515625" bestFit="1" customWidth="1"/>
    <col min="424" max="424" width="11.28515625" bestFit="1" customWidth="1"/>
    <col min="425" max="425" width="14.28515625" bestFit="1" customWidth="1"/>
    <col min="426" max="426" width="11.28515625" bestFit="1" customWidth="1"/>
    <col min="427" max="427" width="14.28515625" bestFit="1" customWidth="1"/>
    <col min="428" max="428" width="11.28515625" bestFit="1" customWidth="1"/>
    <col min="429" max="429" width="14.28515625" bestFit="1" customWidth="1"/>
    <col min="430" max="430" width="11.28515625" bestFit="1" customWidth="1"/>
    <col min="431" max="431" width="14.28515625" bestFit="1" customWidth="1"/>
    <col min="432" max="432" width="11.28515625" bestFit="1" customWidth="1"/>
    <col min="433" max="433" width="14.28515625" bestFit="1" customWidth="1"/>
    <col min="434" max="434" width="11.28515625" bestFit="1" customWidth="1"/>
    <col min="435" max="435" width="14.28515625" bestFit="1" customWidth="1"/>
    <col min="436" max="436" width="11.28515625" bestFit="1" customWidth="1"/>
    <col min="437" max="437" width="14.28515625" bestFit="1" customWidth="1"/>
    <col min="438" max="438" width="11.28515625" bestFit="1" customWidth="1"/>
    <col min="439" max="439" width="14.28515625" bestFit="1" customWidth="1"/>
    <col min="440" max="440" width="11.28515625" bestFit="1" customWidth="1"/>
    <col min="441" max="441" width="14.28515625" bestFit="1" customWidth="1"/>
    <col min="442" max="442" width="11.28515625" bestFit="1" customWidth="1"/>
    <col min="443" max="443" width="14.28515625" bestFit="1" customWidth="1"/>
    <col min="444" max="444" width="11.28515625" bestFit="1" customWidth="1"/>
    <col min="445" max="445" width="14.28515625" bestFit="1" customWidth="1"/>
    <col min="446" max="446" width="11.28515625" bestFit="1" customWidth="1"/>
    <col min="447" max="447" width="14.28515625" bestFit="1" customWidth="1"/>
    <col min="448" max="448" width="11.28515625" bestFit="1" customWidth="1"/>
    <col min="449" max="449" width="14.28515625" bestFit="1" customWidth="1"/>
    <col min="450" max="450" width="11.28515625" bestFit="1" customWidth="1"/>
    <col min="451" max="451" width="14.28515625" bestFit="1" customWidth="1"/>
    <col min="452" max="452" width="11.28515625" bestFit="1" customWidth="1"/>
    <col min="453" max="453" width="14.28515625" bestFit="1" customWidth="1"/>
    <col min="454" max="454" width="11.28515625" bestFit="1" customWidth="1"/>
    <col min="455" max="455" width="14.28515625" bestFit="1" customWidth="1"/>
    <col min="456" max="456" width="11.28515625" bestFit="1" customWidth="1"/>
    <col min="457" max="457" width="14.28515625" bestFit="1" customWidth="1"/>
    <col min="458" max="458" width="11.28515625" bestFit="1" customWidth="1"/>
    <col min="459" max="459" width="14.28515625" bestFit="1" customWidth="1"/>
    <col min="460" max="460" width="11.28515625" bestFit="1" customWidth="1"/>
    <col min="461" max="461" width="14.28515625" bestFit="1" customWidth="1"/>
    <col min="462" max="462" width="11.28515625" bestFit="1" customWidth="1"/>
    <col min="463" max="463" width="14.28515625" bestFit="1" customWidth="1"/>
    <col min="464" max="464" width="11.28515625" bestFit="1" customWidth="1"/>
    <col min="465" max="465" width="14.28515625" bestFit="1" customWidth="1"/>
    <col min="466" max="466" width="11.28515625" bestFit="1" customWidth="1"/>
    <col min="467" max="467" width="14.28515625" bestFit="1" customWidth="1"/>
    <col min="468" max="468" width="11.28515625" bestFit="1" customWidth="1"/>
    <col min="469" max="469" width="14.28515625" bestFit="1" customWidth="1"/>
    <col min="470" max="470" width="11.28515625" bestFit="1" customWidth="1"/>
    <col min="471" max="471" width="14.28515625" bestFit="1" customWidth="1"/>
    <col min="472" max="472" width="11.28515625" bestFit="1" customWidth="1"/>
    <col min="473" max="473" width="14.28515625" bestFit="1" customWidth="1"/>
    <col min="474" max="474" width="11.28515625" bestFit="1" customWidth="1"/>
    <col min="475" max="475" width="14.28515625" bestFit="1" customWidth="1"/>
    <col min="476" max="476" width="11.28515625" bestFit="1" customWidth="1"/>
    <col min="477" max="477" width="14.28515625" bestFit="1" customWidth="1"/>
    <col min="478" max="478" width="11.28515625" bestFit="1" customWidth="1"/>
    <col min="479" max="479" width="14.28515625" bestFit="1" customWidth="1"/>
    <col min="480" max="480" width="11.28515625" bestFit="1" customWidth="1"/>
    <col min="481" max="481" width="14.28515625" bestFit="1" customWidth="1"/>
    <col min="482" max="482" width="12.28515625" bestFit="1" customWidth="1"/>
    <col min="483" max="483" width="15.28515625" bestFit="1" customWidth="1"/>
    <col min="484" max="484" width="12.28515625" bestFit="1" customWidth="1"/>
    <col min="485" max="485" width="15.28515625" bestFit="1" customWidth="1"/>
    <col min="486" max="486" width="12.28515625" bestFit="1" customWidth="1"/>
    <col min="487" max="487" width="15.28515625" bestFit="1" customWidth="1"/>
    <col min="488" max="488" width="12.28515625" bestFit="1" customWidth="1"/>
    <col min="489" max="489" width="15.28515625" bestFit="1" customWidth="1"/>
    <col min="490" max="490" width="12.28515625" bestFit="1" customWidth="1"/>
    <col min="491" max="491" width="15.28515625" bestFit="1" customWidth="1"/>
    <col min="492" max="492" width="12.28515625" bestFit="1" customWidth="1"/>
    <col min="493" max="493" width="15.28515625" bestFit="1" customWidth="1"/>
    <col min="494" max="494" width="12.28515625" bestFit="1" customWidth="1"/>
    <col min="495" max="495" width="15.28515625" bestFit="1" customWidth="1"/>
    <col min="496" max="496" width="12.28515625" bestFit="1" customWidth="1"/>
    <col min="497" max="497" width="15.28515625" bestFit="1" customWidth="1"/>
    <col min="498" max="498" width="12.28515625" bestFit="1" customWidth="1"/>
    <col min="499" max="499" width="15.28515625" bestFit="1" customWidth="1"/>
    <col min="500" max="500" width="12.28515625" bestFit="1" customWidth="1"/>
    <col min="501" max="501" width="15.28515625" bestFit="1" customWidth="1"/>
    <col min="502" max="502" width="12.28515625" bestFit="1" customWidth="1"/>
    <col min="503" max="503" width="15.28515625" bestFit="1" customWidth="1"/>
    <col min="504" max="504" width="12.28515625" bestFit="1" customWidth="1"/>
    <col min="505" max="505" width="15.28515625" bestFit="1" customWidth="1"/>
    <col min="506" max="506" width="12.28515625" bestFit="1" customWidth="1"/>
    <col min="507" max="507" width="15.28515625" bestFit="1" customWidth="1"/>
    <col min="508" max="508" width="12.28515625" bestFit="1" customWidth="1"/>
    <col min="509" max="509" width="15.28515625" bestFit="1" customWidth="1"/>
    <col min="510" max="510" width="12.28515625" bestFit="1" customWidth="1"/>
    <col min="511" max="511" width="15.28515625" bestFit="1" customWidth="1"/>
    <col min="512" max="512" width="12.28515625" bestFit="1" customWidth="1"/>
    <col min="513" max="513" width="15.28515625" bestFit="1" customWidth="1"/>
    <col min="514" max="514" width="12.28515625" bestFit="1" customWidth="1"/>
    <col min="515" max="515" width="15.28515625" bestFit="1" customWidth="1"/>
    <col min="516" max="516" width="12.28515625" bestFit="1" customWidth="1"/>
    <col min="517" max="517" width="15.28515625" bestFit="1" customWidth="1"/>
    <col min="518" max="518" width="12.28515625" bestFit="1" customWidth="1"/>
    <col min="519" max="519" width="15.28515625" bestFit="1" customWidth="1"/>
    <col min="520" max="520" width="12.28515625" bestFit="1" customWidth="1"/>
    <col min="521" max="521" width="15.28515625" bestFit="1" customWidth="1"/>
    <col min="522" max="522" width="12.28515625" bestFit="1" customWidth="1"/>
    <col min="523" max="523" width="15.28515625" bestFit="1" customWidth="1"/>
    <col min="524" max="524" width="11.28515625" bestFit="1" customWidth="1"/>
    <col min="525" max="525" width="14.28515625" bestFit="1" customWidth="1"/>
    <col min="526" max="526" width="11.28515625" bestFit="1" customWidth="1"/>
    <col min="527" max="527" width="14.28515625" bestFit="1" customWidth="1"/>
    <col min="528" max="528" width="10.28515625" bestFit="1" customWidth="1"/>
    <col min="529" max="529" width="13.28515625" bestFit="1" customWidth="1"/>
    <col min="530" max="530" width="10.28515625" bestFit="1" customWidth="1"/>
    <col min="531" max="531" width="13.28515625" bestFit="1" customWidth="1"/>
    <col min="532" max="532" width="10.28515625" bestFit="1" customWidth="1"/>
    <col min="533" max="533" width="13.28515625" bestFit="1" customWidth="1"/>
    <col min="534" max="534" width="10.28515625" bestFit="1" customWidth="1"/>
    <col min="535" max="535" width="13.28515625" bestFit="1" customWidth="1"/>
    <col min="536" max="536" width="10.28515625" bestFit="1" customWidth="1"/>
    <col min="537" max="537" width="13.28515625" bestFit="1" customWidth="1"/>
    <col min="538" max="538" width="10.28515625" bestFit="1" customWidth="1"/>
    <col min="539" max="539" width="13.28515625" bestFit="1" customWidth="1"/>
    <col min="540" max="540" width="10.28515625" bestFit="1" customWidth="1"/>
    <col min="541" max="541" width="13.28515625" bestFit="1" customWidth="1"/>
    <col min="542" max="542" width="10.28515625" bestFit="1" customWidth="1"/>
    <col min="543" max="543" width="13.28515625" bestFit="1" customWidth="1"/>
    <col min="544" max="544" width="10.28515625" bestFit="1" customWidth="1"/>
    <col min="545" max="545" width="13.28515625" bestFit="1" customWidth="1"/>
    <col min="546" max="546" width="11.28515625" bestFit="1" customWidth="1"/>
    <col min="547" max="547" width="14.28515625" bestFit="1" customWidth="1"/>
    <col min="548" max="548" width="11.28515625" bestFit="1" customWidth="1"/>
    <col min="549" max="549" width="14.28515625" bestFit="1" customWidth="1"/>
    <col min="550" max="550" width="11.28515625" bestFit="1" customWidth="1"/>
    <col min="551" max="551" width="14.28515625" bestFit="1" customWidth="1"/>
    <col min="552" max="552" width="10.28515625" bestFit="1" customWidth="1"/>
    <col min="553" max="553" width="13.28515625" bestFit="1" customWidth="1"/>
    <col min="554" max="554" width="10.28515625" bestFit="1" customWidth="1"/>
    <col min="555" max="555" width="13.28515625" bestFit="1" customWidth="1"/>
    <col min="556" max="556" width="10.28515625" bestFit="1" customWidth="1"/>
    <col min="557" max="557" width="13.28515625" bestFit="1" customWidth="1"/>
    <col min="558" max="558" width="10.28515625" bestFit="1" customWidth="1"/>
    <col min="559" max="559" width="13.28515625" bestFit="1" customWidth="1"/>
    <col min="560" max="560" width="10.28515625" bestFit="1" customWidth="1"/>
    <col min="561" max="561" width="13.28515625" bestFit="1" customWidth="1"/>
    <col min="562" max="562" width="10.28515625" bestFit="1" customWidth="1"/>
    <col min="563" max="563" width="13.28515625" bestFit="1" customWidth="1"/>
    <col min="564" max="564" width="10.28515625" bestFit="1" customWidth="1"/>
    <col min="565" max="565" width="13.28515625" bestFit="1" customWidth="1"/>
    <col min="566" max="566" width="10.28515625" bestFit="1" customWidth="1"/>
    <col min="567" max="567" width="13.28515625" bestFit="1" customWidth="1"/>
    <col min="568" max="568" width="10.28515625" bestFit="1" customWidth="1"/>
    <col min="569" max="569" width="13.28515625" bestFit="1" customWidth="1"/>
    <col min="570" max="570" width="11.28515625" bestFit="1" customWidth="1"/>
    <col min="571" max="571" width="14.28515625" bestFit="1" customWidth="1"/>
    <col min="572" max="572" width="11.28515625" bestFit="1" customWidth="1"/>
    <col min="573" max="573" width="14.28515625" bestFit="1" customWidth="1"/>
    <col min="574" max="574" width="11.28515625" bestFit="1" customWidth="1"/>
    <col min="575" max="575" width="14.28515625" bestFit="1" customWidth="1"/>
    <col min="576" max="576" width="10.28515625" bestFit="1" customWidth="1"/>
    <col min="577" max="577" width="13.28515625" bestFit="1" customWidth="1"/>
    <col min="578" max="578" width="10.28515625" bestFit="1" customWidth="1"/>
    <col min="579" max="579" width="13.28515625" bestFit="1" customWidth="1"/>
    <col min="580" max="580" width="10.28515625" bestFit="1" customWidth="1"/>
    <col min="581" max="581" width="13.28515625" bestFit="1" customWidth="1"/>
    <col min="582" max="582" width="10.28515625" bestFit="1" customWidth="1"/>
    <col min="583" max="583" width="13.28515625" bestFit="1" customWidth="1"/>
    <col min="584" max="584" width="10.28515625" bestFit="1" customWidth="1"/>
    <col min="585" max="585" width="13.28515625" bestFit="1" customWidth="1"/>
    <col min="586" max="586" width="10.28515625" bestFit="1" customWidth="1"/>
    <col min="587" max="587" width="13.28515625" bestFit="1" customWidth="1"/>
    <col min="588" max="588" width="10.28515625" bestFit="1" customWidth="1"/>
    <col min="589" max="589" width="13.28515625" bestFit="1" customWidth="1"/>
    <col min="590" max="590" width="10.28515625" bestFit="1" customWidth="1"/>
    <col min="591" max="591" width="13.28515625" bestFit="1" customWidth="1"/>
    <col min="592" max="592" width="10.28515625" bestFit="1" customWidth="1"/>
    <col min="593" max="593" width="13.28515625" bestFit="1" customWidth="1"/>
    <col min="594" max="594" width="11.28515625" bestFit="1" customWidth="1"/>
    <col min="595" max="595" width="14.28515625" bestFit="1" customWidth="1"/>
    <col min="596" max="596" width="11.28515625" bestFit="1" customWidth="1"/>
    <col min="597" max="597" width="14.28515625" bestFit="1" customWidth="1"/>
    <col min="598" max="598" width="11.28515625" bestFit="1" customWidth="1"/>
    <col min="599" max="599" width="14.28515625" bestFit="1" customWidth="1"/>
    <col min="600" max="600" width="10.28515625" bestFit="1" customWidth="1"/>
    <col min="601" max="601" width="13.28515625" bestFit="1" customWidth="1"/>
    <col min="602" max="602" width="10.28515625" bestFit="1" customWidth="1"/>
    <col min="603" max="603" width="13.28515625" bestFit="1" customWidth="1"/>
    <col min="604" max="604" width="10.28515625" bestFit="1" customWidth="1"/>
    <col min="605" max="605" width="13.28515625" bestFit="1" customWidth="1"/>
    <col min="606" max="606" width="10.28515625" bestFit="1" customWidth="1"/>
    <col min="607" max="607" width="13.28515625" bestFit="1" customWidth="1"/>
    <col min="608" max="608" width="10.28515625" bestFit="1" customWidth="1"/>
    <col min="609" max="609" width="13.28515625" bestFit="1" customWidth="1"/>
    <col min="610" max="610" width="10.28515625" bestFit="1" customWidth="1"/>
    <col min="611" max="611" width="13.28515625" bestFit="1" customWidth="1"/>
    <col min="612" max="612" width="10.28515625" bestFit="1" customWidth="1"/>
    <col min="613" max="613" width="13.28515625" bestFit="1" customWidth="1"/>
    <col min="614" max="614" width="10.28515625" bestFit="1" customWidth="1"/>
    <col min="615" max="615" width="13.28515625" bestFit="1" customWidth="1"/>
    <col min="616" max="616" width="10.28515625" bestFit="1" customWidth="1"/>
    <col min="617" max="617" width="13.28515625" bestFit="1" customWidth="1"/>
    <col min="618" max="618" width="11.28515625" bestFit="1" customWidth="1"/>
    <col min="619" max="619" width="14.28515625" bestFit="1" customWidth="1"/>
    <col min="620" max="620" width="11.28515625" bestFit="1" customWidth="1"/>
    <col min="621" max="621" width="14.28515625" bestFit="1" customWidth="1"/>
    <col min="622" max="622" width="11.28515625" bestFit="1" customWidth="1"/>
    <col min="623" max="623" width="14.28515625" bestFit="1" customWidth="1"/>
    <col min="624" max="624" width="10.28515625" bestFit="1" customWidth="1"/>
    <col min="625" max="625" width="13.28515625" bestFit="1" customWidth="1"/>
    <col min="626" max="626" width="10.28515625" bestFit="1" customWidth="1"/>
    <col min="627" max="627" width="13.28515625" bestFit="1" customWidth="1"/>
    <col min="628" max="628" width="10.28515625" bestFit="1" customWidth="1"/>
    <col min="629" max="629" width="13.28515625" bestFit="1" customWidth="1"/>
    <col min="630" max="630" width="10.28515625" bestFit="1" customWidth="1"/>
    <col min="631" max="631" width="13.28515625" bestFit="1" customWidth="1"/>
    <col min="632" max="632" width="10.28515625" bestFit="1" customWidth="1"/>
    <col min="633" max="633" width="13.28515625" bestFit="1" customWidth="1"/>
    <col min="634" max="634" width="10.28515625" bestFit="1" customWidth="1"/>
    <col min="635" max="635" width="13.28515625" bestFit="1" customWidth="1"/>
    <col min="636" max="636" width="10.28515625" bestFit="1" customWidth="1"/>
    <col min="637" max="637" width="13.28515625" bestFit="1" customWidth="1"/>
    <col min="638" max="638" width="10.28515625" bestFit="1" customWidth="1"/>
    <col min="639" max="639" width="13.28515625" bestFit="1" customWidth="1"/>
    <col min="640" max="640" width="10.28515625" bestFit="1" customWidth="1"/>
    <col min="641" max="641" width="13.28515625" bestFit="1" customWidth="1"/>
    <col min="642" max="642" width="11.28515625" bestFit="1" customWidth="1"/>
    <col min="643" max="643" width="14.28515625" bestFit="1" customWidth="1"/>
    <col min="644" max="644" width="11.28515625" bestFit="1" customWidth="1"/>
    <col min="645" max="645" width="14.28515625" bestFit="1" customWidth="1"/>
    <col min="646" max="646" width="11.28515625" bestFit="1" customWidth="1"/>
    <col min="647" max="647" width="14.28515625" bestFit="1" customWidth="1"/>
    <col min="648" max="648" width="10.28515625" bestFit="1" customWidth="1"/>
    <col min="649" max="649" width="13.28515625" bestFit="1" customWidth="1"/>
    <col min="650" max="650" width="10.28515625" bestFit="1" customWidth="1"/>
    <col min="651" max="651" width="13.28515625" bestFit="1" customWidth="1"/>
    <col min="652" max="652" width="10.28515625" bestFit="1" customWidth="1"/>
    <col min="653" max="653" width="13.28515625" bestFit="1" customWidth="1"/>
    <col min="654" max="654" width="10.28515625" bestFit="1" customWidth="1"/>
    <col min="655" max="655" width="13.28515625" bestFit="1" customWidth="1"/>
    <col min="656" max="656" width="10.28515625" bestFit="1" customWidth="1"/>
    <col min="657" max="657" width="13.28515625" bestFit="1" customWidth="1"/>
    <col min="658" max="658" width="10.28515625" bestFit="1" customWidth="1"/>
    <col min="659" max="659" width="13.28515625" bestFit="1" customWidth="1"/>
    <col min="660" max="660" width="10.28515625" bestFit="1" customWidth="1"/>
    <col min="661" max="661" width="13.28515625" bestFit="1" customWidth="1"/>
    <col min="662" max="662" width="10.28515625" bestFit="1" customWidth="1"/>
    <col min="663" max="663" width="13.28515625" bestFit="1" customWidth="1"/>
    <col min="664" max="664" width="10.28515625" bestFit="1" customWidth="1"/>
    <col min="665" max="665" width="13.28515625" bestFit="1" customWidth="1"/>
    <col min="666" max="666" width="11.28515625" bestFit="1" customWidth="1"/>
    <col min="667" max="667" width="14.28515625" bestFit="1" customWidth="1"/>
    <col min="668" max="668" width="11.28515625" bestFit="1" customWidth="1"/>
    <col min="669" max="669" width="14.28515625" bestFit="1" customWidth="1"/>
    <col min="670" max="670" width="11.28515625" bestFit="1" customWidth="1"/>
    <col min="671" max="671" width="14.28515625" bestFit="1" customWidth="1"/>
    <col min="672" max="672" width="10.28515625" bestFit="1" customWidth="1"/>
    <col min="673" max="673" width="13.28515625" bestFit="1" customWidth="1"/>
    <col min="674" max="674" width="10.28515625" bestFit="1" customWidth="1"/>
    <col min="675" max="675" width="13.28515625" bestFit="1" customWidth="1"/>
    <col min="676" max="676" width="10.28515625" bestFit="1" customWidth="1"/>
    <col min="677" max="677" width="13.28515625" bestFit="1" customWidth="1"/>
    <col min="678" max="678" width="10.28515625" bestFit="1" customWidth="1"/>
    <col min="679" max="679" width="13.28515625" bestFit="1" customWidth="1"/>
    <col min="680" max="680" width="10.28515625" bestFit="1" customWidth="1"/>
    <col min="681" max="681" width="13.28515625" bestFit="1" customWidth="1"/>
    <col min="682" max="682" width="10.28515625" bestFit="1" customWidth="1"/>
    <col min="683" max="683" width="13.28515625" bestFit="1" customWidth="1"/>
    <col min="684" max="684" width="10.28515625" bestFit="1" customWidth="1"/>
    <col min="685" max="685" width="13.28515625" bestFit="1" customWidth="1"/>
    <col min="686" max="686" width="10.28515625" bestFit="1" customWidth="1"/>
    <col min="687" max="687" width="13.28515625" bestFit="1" customWidth="1"/>
    <col min="688" max="688" width="10.28515625" bestFit="1" customWidth="1"/>
    <col min="689" max="689" width="13.28515625" bestFit="1" customWidth="1"/>
    <col min="690" max="690" width="11.28515625" bestFit="1" customWidth="1"/>
    <col min="691" max="691" width="14.28515625" bestFit="1" customWidth="1"/>
    <col min="692" max="692" width="11.28515625" bestFit="1" customWidth="1"/>
    <col min="693" max="693" width="14.28515625" bestFit="1" customWidth="1"/>
    <col min="694" max="694" width="11.28515625" bestFit="1" customWidth="1"/>
    <col min="695" max="695" width="14.28515625" bestFit="1" customWidth="1"/>
    <col min="696" max="696" width="10.28515625" bestFit="1" customWidth="1"/>
    <col min="697" max="697" width="13.28515625" bestFit="1" customWidth="1"/>
    <col min="698" max="698" width="10.28515625" bestFit="1" customWidth="1"/>
    <col min="699" max="699" width="13.28515625" bestFit="1" customWidth="1"/>
    <col min="700" max="700" width="10.28515625" bestFit="1" customWidth="1"/>
    <col min="701" max="701" width="13.28515625" bestFit="1" customWidth="1"/>
    <col min="702" max="702" width="10.28515625" bestFit="1" customWidth="1"/>
    <col min="703" max="703" width="13.28515625" bestFit="1" customWidth="1"/>
    <col min="704" max="704" width="10.28515625" bestFit="1" customWidth="1"/>
    <col min="705" max="705" width="13.28515625" bestFit="1" customWidth="1"/>
    <col min="706" max="706" width="10.28515625" bestFit="1" customWidth="1"/>
    <col min="707" max="707" width="13.28515625" bestFit="1" customWidth="1"/>
    <col min="708" max="708" width="10.28515625" bestFit="1" customWidth="1"/>
    <col min="709" max="709" width="13.28515625" bestFit="1" customWidth="1"/>
    <col min="710" max="710" width="10.28515625" bestFit="1" customWidth="1"/>
    <col min="711" max="711" width="13.28515625" bestFit="1" customWidth="1"/>
    <col min="712" max="712" width="10.28515625" bestFit="1" customWidth="1"/>
    <col min="713" max="713" width="13.28515625" bestFit="1" customWidth="1"/>
    <col min="714" max="714" width="11.28515625" bestFit="1" customWidth="1"/>
    <col min="715" max="715" width="14.28515625" bestFit="1" customWidth="1"/>
    <col min="716" max="716" width="11.28515625" bestFit="1" customWidth="1"/>
    <col min="717" max="717" width="14.28515625" bestFit="1" customWidth="1"/>
    <col min="718" max="718" width="11.28515625" bestFit="1" customWidth="1"/>
    <col min="719" max="719" width="14.28515625" bestFit="1" customWidth="1"/>
    <col min="720" max="720" width="10.28515625" bestFit="1" customWidth="1"/>
    <col min="721" max="721" width="13.28515625" bestFit="1" customWidth="1"/>
    <col min="722" max="722" width="10.28515625" bestFit="1" customWidth="1"/>
    <col min="723" max="723" width="13.28515625" bestFit="1" customWidth="1"/>
    <col min="724" max="724" width="10.28515625" bestFit="1" customWidth="1"/>
    <col min="725" max="725" width="13.28515625" bestFit="1" customWidth="1"/>
    <col min="726" max="726" width="10.28515625" bestFit="1" customWidth="1"/>
    <col min="727" max="727" width="13.28515625" bestFit="1" customWidth="1"/>
    <col min="728" max="728" width="10.28515625" bestFit="1" customWidth="1"/>
    <col min="729" max="729" width="13.28515625" bestFit="1" customWidth="1"/>
    <col min="730" max="730" width="10.28515625" bestFit="1" customWidth="1"/>
    <col min="731" max="731" width="13.28515625" bestFit="1" customWidth="1"/>
    <col min="732" max="732" width="10.28515625" bestFit="1" customWidth="1"/>
    <col min="733" max="733" width="13.28515625" bestFit="1" customWidth="1"/>
    <col min="734" max="734" width="10.28515625" bestFit="1" customWidth="1"/>
    <col min="735" max="735" width="13.28515625" bestFit="1" customWidth="1"/>
    <col min="736" max="736" width="10.28515625" bestFit="1" customWidth="1"/>
    <col min="737" max="737" width="13.28515625" bestFit="1" customWidth="1"/>
    <col min="738" max="738" width="11.28515625" bestFit="1" customWidth="1"/>
    <col min="739" max="739" width="14.28515625" bestFit="1" customWidth="1"/>
    <col min="740" max="740" width="11.28515625" bestFit="1" customWidth="1"/>
    <col min="741" max="741" width="14.28515625" bestFit="1" customWidth="1"/>
    <col min="742" max="742" width="11.28515625" bestFit="1" customWidth="1"/>
    <col min="743" max="743" width="14.28515625" bestFit="1" customWidth="1"/>
    <col min="744" max="744" width="10.28515625" bestFit="1" customWidth="1"/>
    <col min="745" max="745" width="13.28515625" bestFit="1" customWidth="1"/>
    <col min="746" max="746" width="10.28515625" bestFit="1" customWidth="1"/>
    <col min="747" max="747" width="13.28515625" bestFit="1" customWidth="1"/>
    <col min="748" max="748" width="10.28515625" bestFit="1" customWidth="1"/>
    <col min="749" max="749" width="13.28515625" bestFit="1" customWidth="1"/>
    <col min="750" max="750" width="10.28515625" bestFit="1" customWidth="1"/>
    <col min="751" max="751" width="13.28515625" bestFit="1" customWidth="1"/>
    <col min="752" max="752" width="10.28515625" bestFit="1" customWidth="1"/>
    <col min="753" max="753" width="13.28515625" bestFit="1" customWidth="1"/>
    <col min="754" max="754" width="10.28515625" bestFit="1" customWidth="1"/>
    <col min="755" max="755" width="13.28515625" bestFit="1" customWidth="1"/>
    <col min="756" max="756" width="10.28515625" bestFit="1" customWidth="1"/>
    <col min="757" max="757" width="13.28515625" bestFit="1" customWidth="1"/>
    <col min="758" max="758" width="10.28515625" bestFit="1" customWidth="1"/>
    <col min="759" max="759" width="13.28515625" bestFit="1" customWidth="1"/>
    <col min="760" max="760" width="10.28515625" bestFit="1" customWidth="1"/>
    <col min="761" max="761" width="13.28515625" bestFit="1" customWidth="1"/>
    <col min="762" max="762" width="11.28515625" bestFit="1" customWidth="1"/>
    <col min="763" max="763" width="14.28515625" bestFit="1" customWidth="1"/>
    <col min="764" max="764" width="11.28515625" bestFit="1" customWidth="1"/>
    <col min="765" max="765" width="14.28515625" bestFit="1" customWidth="1"/>
    <col min="766" max="766" width="10.7109375" bestFit="1" customWidth="1"/>
  </cols>
  <sheetData>
    <row r="1" spans="1:28" s="1" customFormat="1" ht="18.75">
      <c r="A1" s="127" t="s">
        <v>53</v>
      </c>
    </row>
    <row r="2" spans="1:28" s="1" customFormat="1" ht="15.75">
      <c r="A2" s="10" t="s">
        <v>1013</v>
      </c>
    </row>
    <row r="3" spans="1:28" s="1" customFormat="1" ht="21">
      <c r="A3" s="128" t="s">
        <v>1012</v>
      </c>
    </row>
    <row r="4" spans="1:28" s="1" customFormat="1" ht="15.75">
      <c r="A4" s="59" t="s">
        <v>56</v>
      </c>
    </row>
    <row r="5" spans="1:28" s="1" customFormat="1">
      <c r="A5"/>
      <c r="B5"/>
    </row>
    <row r="6" spans="1:28">
      <c r="A6" s="75" t="s">
        <v>85</v>
      </c>
      <c r="B6" s="1" t="s" vm="1">
        <v>87</v>
      </c>
    </row>
    <row r="7" spans="1:28">
      <c r="A7" s="75" t="s">
        <v>94</v>
      </c>
      <c r="B7" s="1" t="s" vm="2">
        <v>86</v>
      </c>
    </row>
    <row r="8" spans="1:28">
      <c r="A8" s="75" t="s">
        <v>95</v>
      </c>
      <c r="B8" s="1" t="s" vm="3">
        <v>97</v>
      </c>
    </row>
    <row r="9" spans="1:28">
      <c r="A9" s="75" t="s">
        <v>96</v>
      </c>
      <c r="B9" s="1" t="s" vm="4">
        <v>98</v>
      </c>
    </row>
    <row r="10" spans="1:28"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</row>
    <row r="11" spans="1:28">
      <c r="A11" s="75" t="s">
        <v>84</v>
      </c>
      <c r="B11" s="75" t="s">
        <v>90</v>
      </c>
    </row>
    <row r="12" spans="1:28">
      <c r="A12" s="75" t="s">
        <v>88</v>
      </c>
      <c r="B12" s="1" t="s">
        <v>179</v>
      </c>
      <c r="C12" s="1" t="s">
        <v>180</v>
      </c>
      <c r="D12" s="1" t="s">
        <v>181</v>
      </c>
      <c r="E12" s="1" t="s">
        <v>182</v>
      </c>
      <c r="F12" s="1" t="s">
        <v>183</v>
      </c>
      <c r="G12" s="1" t="s">
        <v>184</v>
      </c>
      <c r="H12" s="1" t="s">
        <v>185</v>
      </c>
      <c r="I12" s="1" t="s">
        <v>186</v>
      </c>
      <c r="J12" s="1" t="s">
        <v>187</v>
      </c>
      <c r="K12" s="1" t="s">
        <v>188</v>
      </c>
      <c r="L12" s="1" t="s">
        <v>189</v>
      </c>
      <c r="M12" s="1" t="s">
        <v>190</v>
      </c>
    </row>
    <row r="13" spans="1:28">
      <c r="A13" s="76" t="s">
        <v>0</v>
      </c>
      <c r="B13" s="2" t="s">
        <v>743</v>
      </c>
      <c r="C13" s="2" t="s">
        <v>801</v>
      </c>
      <c r="D13" s="2" t="s">
        <v>454</v>
      </c>
      <c r="E13" s="2" t="s">
        <v>202</v>
      </c>
      <c r="F13" s="2" t="s">
        <v>160</v>
      </c>
      <c r="G13" s="2" t="s">
        <v>104</v>
      </c>
      <c r="H13" s="2" t="s">
        <v>225</v>
      </c>
      <c r="I13" s="2" t="s">
        <v>255</v>
      </c>
      <c r="J13" s="2" t="s">
        <v>260</v>
      </c>
      <c r="K13" s="2" t="s">
        <v>196</v>
      </c>
      <c r="L13" s="2" t="s">
        <v>505</v>
      </c>
      <c r="M13" s="2" t="s">
        <v>571</v>
      </c>
    </row>
    <row r="14" spans="1:28">
      <c r="A14" s="96" t="s">
        <v>824</v>
      </c>
      <c r="B14" s="2" t="s">
        <v>825</v>
      </c>
      <c r="C14" s="2" t="s">
        <v>739</v>
      </c>
      <c r="D14" s="2" t="s">
        <v>419</v>
      </c>
      <c r="E14" s="2" t="s">
        <v>206</v>
      </c>
      <c r="F14" s="2" t="s">
        <v>286</v>
      </c>
      <c r="G14" s="2" t="s">
        <v>282</v>
      </c>
      <c r="H14" s="2" t="s">
        <v>252</v>
      </c>
      <c r="I14" s="2" t="s">
        <v>258</v>
      </c>
      <c r="J14" s="2" t="s">
        <v>255</v>
      </c>
      <c r="K14" s="2" t="s">
        <v>225</v>
      </c>
      <c r="L14" s="2" t="s">
        <v>474</v>
      </c>
      <c r="M14" s="2" t="s">
        <v>779</v>
      </c>
    </row>
    <row r="15" spans="1:28">
      <c r="A15" s="96" t="s">
        <v>826</v>
      </c>
      <c r="B15" s="2" t="s">
        <v>827</v>
      </c>
      <c r="C15" s="2" t="s">
        <v>774</v>
      </c>
      <c r="D15" s="2" t="s">
        <v>413</v>
      </c>
      <c r="E15" s="2" t="s">
        <v>262</v>
      </c>
      <c r="F15" s="2" t="s">
        <v>125</v>
      </c>
      <c r="G15" s="2" t="s">
        <v>121</v>
      </c>
      <c r="H15" s="2" t="s">
        <v>249</v>
      </c>
      <c r="I15" s="2" t="s">
        <v>295</v>
      </c>
      <c r="J15" s="2" t="s">
        <v>211</v>
      </c>
      <c r="K15" s="2" t="s">
        <v>194</v>
      </c>
      <c r="L15" s="2" t="s">
        <v>551</v>
      </c>
      <c r="M15" s="2" t="s">
        <v>775</v>
      </c>
    </row>
    <row r="16" spans="1:28">
      <c r="A16" s="96" t="s">
        <v>828</v>
      </c>
      <c r="B16" s="2" t="s">
        <v>778</v>
      </c>
      <c r="C16" s="2" t="s">
        <v>677</v>
      </c>
      <c r="D16" s="2" t="s">
        <v>455</v>
      </c>
      <c r="E16" s="2" t="s">
        <v>228</v>
      </c>
      <c r="F16" s="2" t="s">
        <v>114</v>
      </c>
      <c r="G16" s="2" t="s">
        <v>205</v>
      </c>
      <c r="H16" s="2" t="s">
        <v>253</v>
      </c>
      <c r="I16" s="2" t="s">
        <v>210</v>
      </c>
      <c r="J16" s="2" t="s">
        <v>191</v>
      </c>
      <c r="K16" s="2" t="s">
        <v>216</v>
      </c>
      <c r="L16" s="2" t="s">
        <v>667</v>
      </c>
      <c r="M16" s="2" t="s">
        <v>729</v>
      </c>
    </row>
    <row r="17" spans="1:13">
      <c r="A17" s="96" t="s">
        <v>830</v>
      </c>
      <c r="B17" s="2" t="s">
        <v>832</v>
      </c>
      <c r="C17" s="2" t="s">
        <v>522</v>
      </c>
      <c r="D17" s="2" t="s">
        <v>437</v>
      </c>
      <c r="E17" s="2" t="s">
        <v>228</v>
      </c>
      <c r="F17" s="2" t="s">
        <v>114</v>
      </c>
      <c r="G17" s="2" t="s">
        <v>120</v>
      </c>
      <c r="H17" s="2" t="s">
        <v>211</v>
      </c>
      <c r="I17" s="2" t="s">
        <v>293</v>
      </c>
      <c r="J17" s="2" t="s">
        <v>221</v>
      </c>
      <c r="K17" s="2" t="s">
        <v>167</v>
      </c>
      <c r="L17" s="2" t="s">
        <v>667</v>
      </c>
      <c r="M17" s="2" t="s">
        <v>833</v>
      </c>
    </row>
    <row r="18" spans="1:13">
      <c r="A18" s="96" t="s">
        <v>834</v>
      </c>
      <c r="B18" s="2" t="s">
        <v>835</v>
      </c>
      <c r="C18" s="2" t="s">
        <v>742</v>
      </c>
      <c r="D18" s="2" t="s">
        <v>434</v>
      </c>
      <c r="E18" s="2" t="s">
        <v>212</v>
      </c>
      <c r="F18" s="2" t="s">
        <v>139</v>
      </c>
      <c r="G18" s="2" t="s">
        <v>307</v>
      </c>
      <c r="H18" s="2" t="s">
        <v>197</v>
      </c>
      <c r="I18" s="2" t="s">
        <v>134</v>
      </c>
      <c r="J18" s="2" t="s">
        <v>135</v>
      </c>
      <c r="K18" s="2" t="s">
        <v>219</v>
      </c>
      <c r="L18" s="2" t="s">
        <v>588</v>
      </c>
      <c r="M18" s="2" t="s">
        <v>714</v>
      </c>
    </row>
    <row r="19" spans="1:13">
      <c r="A19" s="96" t="s">
        <v>836</v>
      </c>
      <c r="B19" s="2" t="s">
        <v>837</v>
      </c>
      <c r="C19" s="2" t="s">
        <v>570</v>
      </c>
      <c r="D19" s="2" t="s">
        <v>425</v>
      </c>
      <c r="E19" s="2" t="s">
        <v>223</v>
      </c>
      <c r="F19" s="2" t="s">
        <v>270</v>
      </c>
      <c r="G19" s="2" t="s">
        <v>140</v>
      </c>
      <c r="H19" s="2" t="s">
        <v>221</v>
      </c>
      <c r="I19" s="2" t="s">
        <v>341</v>
      </c>
      <c r="J19" s="2" t="s">
        <v>198</v>
      </c>
      <c r="K19" s="2" t="s">
        <v>199</v>
      </c>
      <c r="L19" s="2" t="s">
        <v>655</v>
      </c>
      <c r="M19" s="2" t="s">
        <v>838</v>
      </c>
    </row>
    <row r="20" spans="1:13">
      <c r="A20" s="96" t="s">
        <v>839</v>
      </c>
      <c r="B20" s="2" t="s">
        <v>840</v>
      </c>
      <c r="C20" s="2" t="s">
        <v>640</v>
      </c>
      <c r="D20" s="2" t="s">
        <v>457</v>
      </c>
      <c r="E20" s="2" t="s">
        <v>228</v>
      </c>
      <c r="F20" s="2" t="s">
        <v>114</v>
      </c>
      <c r="G20" s="2" t="s">
        <v>120</v>
      </c>
      <c r="H20" s="2" t="s">
        <v>191</v>
      </c>
      <c r="I20" s="2" t="s">
        <v>276</v>
      </c>
      <c r="J20" s="2" t="s">
        <v>257</v>
      </c>
      <c r="K20" s="2" t="s">
        <v>167</v>
      </c>
      <c r="L20" s="2" t="s">
        <v>657</v>
      </c>
      <c r="M20" s="2" t="s">
        <v>716</v>
      </c>
    </row>
    <row r="21" spans="1:13">
      <c r="A21" s="96" t="s">
        <v>841</v>
      </c>
      <c r="B21" s="2" t="s">
        <v>752</v>
      </c>
      <c r="C21" s="2" t="s">
        <v>561</v>
      </c>
      <c r="D21" s="2" t="s">
        <v>450</v>
      </c>
      <c r="E21" s="2" t="s">
        <v>212</v>
      </c>
      <c r="F21" s="2" t="s">
        <v>270</v>
      </c>
      <c r="G21" s="2" t="s">
        <v>147</v>
      </c>
      <c r="H21" s="2" t="s">
        <v>198</v>
      </c>
      <c r="I21" s="2" t="s">
        <v>177</v>
      </c>
      <c r="J21" s="2" t="s">
        <v>220</v>
      </c>
      <c r="K21" s="2" t="s">
        <v>178</v>
      </c>
      <c r="L21" s="2" t="s">
        <v>588</v>
      </c>
      <c r="M21" s="2" t="s">
        <v>838</v>
      </c>
    </row>
    <row r="22" spans="1:13">
      <c r="A22" s="96" t="s">
        <v>842</v>
      </c>
      <c r="B22" s="2" t="s">
        <v>843</v>
      </c>
      <c r="C22" s="2" t="s">
        <v>640</v>
      </c>
      <c r="D22" s="2" t="s">
        <v>373</v>
      </c>
      <c r="E22" s="2" t="s">
        <v>207</v>
      </c>
      <c r="F22" s="2" t="s">
        <v>117</v>
      </c>
      <c r="G22" s="2" t="s">
        <v>123</v>
      </c>
      <c r="H22" s="2" t="s">
        <v>242</v>
      </c>
      <c r="I22" s="2" t="s">
        <v>122</v>
      </c>
      <c r="J22" s="2" t="s">
        <v>215</v>
      </c>
      <c r="K22" s="2" t="s">
        <v>192</v>
      </c>
      <c r="L22" s="2" t="s">
        <v>474</v>
      </c>
      <c r="M22" s="2" t="s">
        <v>716</v>
      </c>
    </row>
    <row r="23" spans="1:13">
      <c r="A23" s="96" t="s">
        <v>844</v>
      </c>
      <c r="B23" s="2" t="s">
        <v>845</v>
      </c>
      <c r="C23" s="2" t="s">
        <v>846</v>
      </c>
      <c r="D23" s="2" t="s">
        <v>388</v>
      </c>
      <c r="E23" s="2" t="s">
        <v>248</v>
      </c>
      <c r="F23" s="2" t="s">
        <v>270</v>
      </c>
      <c r="G23" s="2" t="s">
        <v>147</v>
      </c>
      <c r="H23" s="2" t="s">
        <v>242</v>
      </c>
      <c r="I23" s="2" t="s">
        <v>122</v>
      </c>
      <c r="J23" s="2" t="s">
        <v>242</v>
      </c>
      <c r="K23" s="2" t="s">
        <v>192</v>
      </c>
      <c r="L23" s="2" t="s">
        <v>593</v>
      </c>
      <c r="M23" s="2" t="s">
        <v>729</v>
      </c>
    </row>
    <row r="24" spans="1:13">
      <c r="A24" s="96" t="s">
        <v>847</v>
      </c>
      <c r="B24" s="2" t="s">
        <v>848</v>
      </c>
      <c r="C24" s="2" t="s">
        <v>849</v>
      </c>
      <c r="D24" s="2" t="s">
        <v>411</v>
      </c>
      <c r="E24" s="2" t="s">
        <v>152</v>
      </c>
      <c r="F24" s="2" t="s">
        <v>157</v>
      </c>
      <c r="G24" s="2" t="s">
        <v>121</v>
      </c>
      <c r="H24" s="2" t="s">
        <v>135</v>
      </c>
      <c r="I24" s="2" t="s">
        <v>258</v>
      </c>
      <c r="J24" s="2" t="s">
        <v>151</v>
      </c>
      <c r="K24" s="2" t="s">
        <v>214</v>
      </c>
      <c r="L24" s="2" t="s">
        <v>487</v>
      </c>
      <c r="M24" s="2" t="s">
        <v>776</v>
      </c>
    </row>
    <row r="25" spans="1:13">
      <c r="A25" s="96" t="s">
        <v>851</v>
      </c>
      <c r="B25" s="2" t="s">
        <v>848</v>
      </c>
      <c r="C25" s="2" t="s">
        <v>685</v>
      </c>
      <c r="D25" s="2" t="s">
        <v>411</v>
      </c>
      <c r="E25" s="2" t="s">
        <v>152</v>
      </c>
      <c r="F25" s="2" t="s">
        <v>282</v>
      </c>
      <c r="G25" s="2" t="s">
        <v>142</v>
      </c>
      <c r="H25" s="2" t="s">
        <v>252</v>
      </c>
      <c r="I25" s="2" t="s">
        <v>170</v>
      </c>
      <c r="J25" s="2" t="s">
        <v>255</v>
      </c>
      <c r="K25" s="2" t="s">
        <v>214</v>
      </c>
      <c r="L25" s="2" t="s">
        <v>593</v>
      </c>
      <c r="M25" s="2" t="s">
        <v>833</v>
      </c>
    </row>
    <row r="26" spans="1:13">
      <c r="A26" s="96" t="s">
        <v>852</v>
      </c>
      <c r="B26" s="2" t="s">
        <v>853</v>
      </c>
      <c r="C26" s="2" t="s">
        <v>725</v>
      </c>
      <c r="D26" s="2" t="s">
        <v>414</v>
      </c>
      <c r="E26" s="2" t="s">
        <v>219</v>
      </c>
      <c r="F26" s="2" t="s">
        <v>307</v>
      </c>
      <c r="G26" s="2" t="s">
        <v>143</v>
      </c>
      <c r="H26" s="2" t="s">
        <v>135</v>
      </c>
      <c r="I26" s="2" t="s">
        <v>259</v>
      </c>
      <c r="J26" s="2" t="s">
        <v>252</v>
      </c>
      <c r="K26" s="2" t="s">
        <v>227</v>
      </c>
      <c r="L26" s="2" t="s">
        <v>593</v>
      </c>
      <c r="M26" s="2" t="s">
        <v>776</v>
      </c>
    </row>
    <row r="27" spans="1:13">
      <c r="A27" s="96" t="s">
        <v>854</v>
      </c>
      <c r="B27" s="2" t="s">
        <v>853</v>
      </c>
      <c r="C27" s="2" t="s">
        <v>740</v>
      </c>
      <c r="D27" s="2" t="s">
        <v>624</v>
      </c>
      <c r="E27" s="2" t="s">
        <v>224</v>
      </c>
      <c r="F27" s="2" t="s">
        <v>283</v>
      </c>
      <c r="G27" s="2" t="s">
        <v>120</v>
      </c>
      <c r="H27" s="2" t="s">
        <v>242</v>
      </c>
      <c r="I27" s="2" t="s">
        <v>249</v>
      </c>
      <c r="J27" s="2" t="s">
        <v>215</v>
      </c>
      <c r="K27" s="2" t="s">
        <v>178</v>
      </c>
      <c r="L27" s="2" t="s">
        <v>666</v>
      </c>
      <c r="M27" s="2" t="s">
        <v>548</v>
      </c>
    </row>
    <row r="28" spans="1:13">
      <c r="A28" s="96" t="s">
        <v>856</v>
      </c>
      <c r="B28" s="2" t="s">
        <v>857</v>
      </c>
      <c r="C28" s="2" t="s">
        <v>768</v>
      </c>
      <c r="D28" s="2" t="s">
        <v>521</v>
      </c>
      <c r="E28" s="2" t="s">
        <v>256</v>
      </c>
      <c r="F28" s="2" t="s">
        <v>106</v>
      </c>
      <c r="G28" s="2" t="s">
        <v>136</v>
      </c>
      <c r="H28" s="2" t="s">
        <v>198</v>
      </c>
      <c r="I28" s="2" t="s">
        <v>241</v>
      </c>
      <c r="J28" s="2" t="s">
        <v>197</v>
      </c>
      <c r="K28" s="2" t="s">
        <v>256</v>
      </c>
      <c r="L28" s="2" t="s">
        <v>544</v>
      </c>
      <c r="M28" s="2" t="s">
        <v>850</v>
      </c>
    </row>
    <row r="29" spans="1:13">
      <c r="A29" s="96" t="s">
        <v>858</v>
      </c>
      <c r="B29" s="2" t="s">
        <v>860</v>
      </c>
      <c r="C29" s="2" t="s">
        <v>831</v>
      </c>
      <c r="D29" s="2" t="s">
        <v>646</v>
      </c>
      <c r="E29" s="2" t="s">
        <v>255</v>
      </c>
      <c r="F29" s="2" t="s">
        <v>143</v>
      </c>
      <c r="G29" s="2" t="s">
        <v>226</v>
      </c>
      <c r="H29" s="2" t="s">
        <v>253</v>
      </c>
      <c r="I29" s="2" t="s">
        <v>293</v>
      </c>
      <c r="J29" s="2" t="s">
        <v>211</v>
      </c>
      <c r="K29" s="2" t="s">
        <v>151</v>
      </c>
      <c r="L29" s="2" t="s">
        <v>758</v>
      </c>
      <c r="M29" s="2" t="s">
        <v>855</v>
      </c>
    </row>
    <row r="30" spans="1:13">
      <c r="A30" s="96" t="s">
        <v>861</v>
      </c>
      <c r="B30" s="2" t="s">
        <v>862</v>
      </c>
      <c r="C30" s="2" t="s">
        <v>863</v>
      </c>
      <c r="D30" s="2" t="s">
        <v>538</v>
      </c>
      <c r="E30" s="2" t="s">
        <v>151</v>
      </c>
      <c r="F30" s="2" t="s">
        <v>267</v>
      </c>
      <c r="G30" s="2" t="s">
        <v>118</v>
      </c>
      <c r="H30" s="2" t="s">
        <v>217</v>
      </c>
      <c r="I30" s="2" t="s">
        <v>295</v>
      </c>
      <c r="J30" s="2" t="s">
        <v>249</v>
      </c>
      <c r="K30" s="2" t="s">
        <v>197</v>
      </c>
      <c r="L30" s="2" t="s">
        <v>649</v>
      </c>
      <c r="M30" s="2" t="s">
        <v>864</v>
      </c>
    </row>
    <row r="31" spans="1:13">
      <c r="A31" s="96" t="s">
        <v>865</v>
      </c>
      <c r="B31" s="2" t="s">
        <v>859</v>
      </c>
      <c r="C31" s="2" t="s">
        <v>691</v>
      </c>
      <c r="D31" s="2" t="s">
        <v>678</v>
      </c>
      <c r="E31" s="2" t="s">
        <v>256</v>
      </c>
      <c r="F31" s="2" t="s">
        <v>205</v>
      </c>
      <c r="G31" s="2" t="s">
        <v>193</v>
      </c>
      <c r="H31" s="2" t="s">
        <v>257</v>
      </c>
      <c r="I31" s="2" t="s">
        <v>341</v>
      </c>
      <c r="J31" s="2" t="s">
        <v>221</v>
      </c>
      <c r="K31" s="2" t="s">
        <v>251</v>
      </c>
      <c r="L31" s="2" t="s">
        <v>544</v>
      </c>
      <c r="M31" s="2" t="s">
        <v>801</v>
      </c>
    </row>
    <row r="32" spans="1:13">
      <c r="A32" s="96" t="s">
        <v>866</v>
      </c>
      <c r="B32" s="2" t="s">
        <v>867</v>
      </c>
      <c r="C32" s="2" t="s">
        <v>668</v>
      </c>
      <c r="D32" s="2" t="s">
        <v>678</v>
      </c>
      <c r="E32" s="2" t="s">
        <v>242</v>
      </c>
      <c r="F32" s="2" t="s">
        <v>121</v>
      </c>
      <c r="G32" s="2" t="s">
        <v>193</v>
      </c>
      <c r="H32" s="2" t="s">
        <v>221</v>
      </c>
      <c r="I32" s="2" t="s">
        <v>177</v>
      </c>
      <c r="J32" s="2" t="s">
        <v>198</v>
      </c>
      <c r="K32" s="2" t="s">
        <v>242</v>
      </c>
      <c r="L32" s="2" t="s">
        <v>667</v>
      </c>
      <c r="M32" s="2" t="s">
        <v>548</v>
      </c>
    </row>
    <row r="33" spans="1:13">
      <c r="A33" s="96" t="s">
        <v>868</v>
      </c>
      <c r="B33" s="2" t="s">
        <v>869</v>
      </c>
      <c r="C33" s="2" t="s">
        <v>870</v>
      </c>
      <c r="D33" s="2" t="s">
        <v>679</v>
      </c>
      <c r="E33" s="2" t="s">
        <v>199</v>
      </c>
      <c r="F33" s="2" t="s">
        <v>114</v>
      </c>
      <c r="G33" s="2" t="s">
        <v>110</v>
      </c>
      <c r="H33" s="2" t="s">
        <v>252</v>
      </c>
      <c r="I33" s="2" t="s">
        <v>170</v>
      </c>
      <c r="J33" s="2" t="s">
        <v>255</v>
      </c>
      <c r="K33" s="2" t="s">
        <v>214</v>
      </c>
      <c r="L33" s="2" t="s">
        <v>619</v>
      </c>
      <c r="M33" s="2" t="s">
        <v>769</v>
      </c>
    </row>
    <row r="34" spans="1:13">
      <c r="A34" s="96" t="s">
        <v>871</v>
      </c>
      <c r="B34" s="2" t="s">
        <v>825</v>
      </c>
      <c r="C34" s="2" t="s">
        <v>665</v>
      </c>
      <c r="D34" s="2" t="s">
        <v>380</v>
      </c>
      <c r="E34" s="2" t="s">
        <v>260</v>
      </c>
      <c r="F34" s="2" t="s">
        <v>117</v>
      </c>
      <c r="G34" s="2" t="s">
        <v>106</v>
      </c>
      <c r="H34" s="2" t="s">
        <v>242</v>
      </c>
      <c r="I34" s="2" t="s">
        <v>249</v>
      </c>
      <c r="J34" s="2" t="s">
        <v>215</v>
      </c>
      <c r="K34" s="2" t="s">
        <v>178</v>
      </c>
      <c r="L34" s="2" t="s">
        <v>488</v>
      </c>
      <c r="M34" s="2" t="s">
        <v>713</v>
      </c>
    </row>
    <row r="35" spans="1:13">
      <c r="A35" s="96" t="s">
        <v>872</v>
      </c>
      <c r="B35" s="2" t="s">
        <v>873</v>
      </c>
      <c r="C35" s="2" t="s">
        <v>692</v>
      </c>
      <c r="D35" s="2" t="s">
        <v>380</v>
      </c>
      <c r="E35" s="2" t="s">
        <v>228</v>
      </c>
      <c r="F35" s="2" t="s">
        <v>139</v>
      </c>
      <c r="G35" s="2" t="s">
        <v>123</v>
      </c>
      <c r="H35" s="2" t="s">
        <v>194</v>
      </c>
      <c r="I35" s="2" t="s">
        <v>211</v>
      </c>
      <c r="J35" s="2" t="s">
        <v>194</v>
      </c>
      <c r="K35" s="2" t="s">
        <v>219</v>
      </c>
      <c r="L35" s="2" t="s">
        <v>541</v>
      </c>
      <c r="M35" s="2" t="s">
        <v>483</v>
      </c>
    </row>
    <row r="36" spans="1:13">
      <c r="A36" s="96" t="s">
        <v>874</v>
      </c>
      <c r="B36" s="2" t="s">
        <v>875</v>
      </c>
      <c r="C36" s="2" t="s">
        <v>721</v>
      </c>
      <c r="D36" s="2" t="s">
        <v>384</v>
      </c>
      <c r="E36" s="2" t="s">
        <v>152</v>
      </c>
      <c r="F36" s="2" t="s">
        <v>272</v>
      </c>
      <c r="G36" s="2" t="s">
        <v>104</v>
      </c>
      <c r="H36" s="2" t="s">
        <v>227</v>
      </c>
      <c r="I36" s="2" t="s">
        <v>257</v>
      </c>
      <c r="J36" s="2" t="s">
        <v>227</v>
      </c>
      <c r="K36" s="2" t="s">
        <v>225</v>
      </c>
      <c r="L36" s="2" t="s">
        <v>621</v>
      </c>
      <c r="M36" s="2" t="s">
        <v>734</v>
      </c>
    </row>
    <row r="37" spans="1:13">
      <c r="A37" s="96" t="s">
        <v>876</v>
      </c>
      <c r="B37" s="2" t="s">
        <v>829</v>
      </c>
      <c r="C37" s="2" t="s">
        <v>722</v>
      </c>
      <c r="D37" s="2" t="s">
        <v>454</v>
      </c>
      <c r="E37" s="2" t="s">
        <v>166</v>
      </c>
      <c r="F37" s="2" t="s">
        <v>146</v>
      </c>
      <c r="G37" s="2" t="s">
        <v>270</v>
      </c>
      <c r="H37" s="2" t="s">
        <v>260</v>
      </c>
      <c r="I37" s="2" t="s">
        <v>251</v>
      </c>
      <c r="J37" s="2" t="s">
        <v>260</v>
      </c>
      <c r="K37" s="2" t="s">
        <v>248</v>
      </c>
      <c r="L37" s="2" t="s">
        <v>627</v>
      </c>
      <c r="M37" s="2" t="s">
        <v>786</v>
      </c>
    </row>
    <row r="38" spans="1:13">
      <c r="A38" s="96" t="s">
        <v>877</v>
      </c>
      <c r="B38" s="2" t="s">
        <v>878</v>
      </c>
      <c r="C38" s="2" t="s">
        <v>748</v>
      </c>
      <c r="D38" s="2" t="s">
        <v>372</v>
      </c>
      <c r="E38" s="2" t="s">
        <v>218</v>
      </c>
      <c r="F38" s="2" t="s">
        <v>153</v>
      </c>
      <c r="G38" s="2" t="s">
        <v>280</v>
      </c>
      <c r="H38" s="2" t="s">
        <v>225</v>
      </c>
      <c r="I38" s="2" t="s">
        <v>255</v>
      </c>
      <c r="J38" s="2" t="s">
        <v>260</v>
      </c>
      <c r="K38" s="2" t="s">
        <v>248</v>
      </c>
      <c r="L38" s="2" t="s">
        <v>584</v>
      </c>
      <c r="M38" s="2" t="s">
        <v>546</v>
      </c>
    </row>
    <row r="39" spans="1:13">
      <c r="A39" s="96" t="s">
        <v>879</v>
      </c>
      <c r="B39" s="2" t="s">
        <v>880</v>
      </c>
      <c r="C39" s="2" t="s">
        <v>783</v>
      </c>
      <c r="D39" s="2" t="s">
        <v>385</v>
      </c>
      <c r="E39" s="2" t="s">
        <v>196</v>
      </c>
      <c r="F39" s="2" t="s">
        <v>278</v>
      </c>
      <c r="G39" s="2" t="s">
        <v>157</v>
      </c>
      <c r="H39" s="2" t="s">
        <v>199</v>
      </c>
      <c r="I39" s="2" t="s">
        <v>220</v>
      </c>
      <c r="J39" s="2" t="s">
        <v>178</v>
      </c>
      <c r="K39" s="2" t="s">
        <v>264</v>
      </c>
      <c r="L39" s="2" t="s">
        <v>472</v>
      </c>
      <c r="M39" s="2" t="s">
        <v>738</v>
      </c>
    </row>
    <row r="40" spans="1:13">
      <c r="A40" s="96" t="s">
        <v>881</v>
      </c>
      <c r="B40" s="2" t="s">
        <v>882</v>
      </c>
      <c r="C40" s="2" t="s">
        <v>684</v>
      </c>
      <c r="D40" s="2" t="s">
        <v>380</v>
      </c>
      <c r="E40" s="2" t="s">
        <v>264</v>
      </c>
      <c r="F40" s="2" t="s">
        <v>279</v>
      </c>
      <c r="G40" s="2" t="s">
        <v>283</v>
      </c>
      <c r="H40" s="2" t="s">
        <v>195</v>
      </c>
      <c r="I40" s="2" t="s">
        <v>198</v>
      </c>
      <c r="J40" s="2" t="s">
        <v>199</v>
      </c>
      <c r="K40" s="2" t="s">
        <v>223</v>
      </c>
      <c r="L40" s="2" t="s">
        <v>554</v>
      </c>
      <c r="M40" s="2" t="s">
        <v>771</v>
      </c>
    </row>
    <row r="41" spans="1:13">
      <c r="A41" s="96" t="s">
        <v>883</v>
      </c>
      <c r="B41" s="2" t="s">
        <v>690</v>
      </c>
      <c r="C41" s="2" t="s">
        <v>721</v>
      </c>
      <c r="D41" s="2" t="s">
        <v>358</v>
      </c>
      <c r="E41" s="2" t="s">
        <v>200</v>
      </c>
      <c r="F41" s="2" t="s">
        <v>289</v>
      </c>
      <c r="G41" s="2" t="s">
        <v>283</v>
      </c>
      <c r="H41" s="2" t="s">
        <v>199</v>
      </c>
      <c r="I41" s="2" t="s">
        <v>220</v>
      </c>
      <c r="J41" s="2" t="s">
        <v>192</v>
      </c>
      <c r="K41" s="2" t="s">
        <v>130</v>
      </c>
      <c r="L41" s="2" t="s">
        <v>575</v>
      </c>
      <c r="M41" s="2" t="s">
        <v>644</v>
      </c>
    </row>
    <row r="42" spans="1:13">
      <c r="A42" s="96" t="s">
        <v>884</v>
      </c>
      <c r="B42" s="2" t="s">
        <v>885</v>
      </c>
      <c r="C42" s="2" t="s">
        <v>886</v>
      </c>
      <c r="D42" s="2" t="s">
        <v>451</v>
      </c>
      <c r="E42" s="2" t="s">
        <v>244</v>
      </c>
      <c r="F42" s="2" t="s">
        <v>278</v>
      </c>
      <c r="G42" s="2" t="s">
        <v>157</v>
      </c>
      <c r="H42" s="2" t="s">
        <v>199</v>
      </c>
      <c r="I42" s="2" t="s">
        <v>197</v>
      </c>
      <c r="J42" s="2" t="s">
        <v>126</v>
      </c>
      <c r="K42" s="2" t="s">
        <v>196</v>
      </c>
      <c r="L42" s="2" t="s">
        <v>623</v>
      </c>
      <c r="M42" s="2" t="s">
        <v>606</v>
      </c>
    </row>
    <row r="43" spans="1:13">
      <c r="A43" s="96" t="s">
        <v>887</v>
      </c>
      <c r="B43" s="2" t="s">
        <v>888</v>
      </c>
      <c r="C43" s="2" t="s">
        <v>692</v>
      </c>
      <c r="D43" s="2" t="s">
        <v>441</v>
      </c>
      <c r="E43" s="2" t="s">
        <v>222</v>
      </c>
      <c r="F43" s="2" t="s">
        <v>289</v>
      </c>
      <c r="G43" s="2" t="s">
        <v>283</v>
      </c>
      <c r="H43" s="2" t="s">
        <v>199</v>
      </c>
      <c r="I43" s="2" t="s">
        <v>197</v>
      </c>
      <c r="J43" s="2" t="s">
        <v>192</v>
      </c>
      <c r="K43" s="2" t="s">
        <v>213</v>
      </c>
      <c r="L43" s="2" t="s">
        <v>623</v>
      </c>
      <c r="M43" s="2" t="s">
        <v>718</v>
      </c>
    </row>
    <row r="44" spans="1:13">
      <c r="A44" s="96" t="s">
        <v>889</v>
      </c>
      <c r="B44" s="2" t="s">
        <v>890</v>
      </c>
      <c r="C44" s="2" t="s">
        <v>672</v>
      </c>
      <c r="D44" s="2" t="s">
        <v>430</v>
      </c>
      <c r="E44" s="2" t="s">
        <v>119</v>
      </c>
      <c r="F44" s="2" t="s">
        <v>289</v>
      </c>
      <c r="G44" s="2" t="s">
        <v>283</v>
      </c>
      <c r="H44" s="2" t="s">
        <v>126</v>
      </c>
      <c r="I44" s="2" t="s">
        <v>252</v>
      </c>
      <c r="J44" s="2" t="s">
        <v>225</v>
      </c>
      <c r="K44" s="2" t="s">
        <v>213</v>
      </c>
      <c r="L44" s="2" t="s">
        <v>471</v>
      </c>
      <c r="M44" s="2" t="s">
        <v>523</v>
      </c>
    </row>
    <row r="45" spans="1:13">
      <c r="A45" s="96" t="s">
        <v>891</v>
      </c>
      <c r="B45" s="2" t="s">
        <v>892</v>
      </c>
      <c r="C45" s="2" t="s">
        <v>674</v>
      </c>
      <c r="D45" s="2" t="s">
        <v>381</v>
      </c>
      <c r="E45" s="2" t="s">
        <v>145</v>
      </c>
      <c r="F45" s="2" t="s">
        <v>278</v>
      </c>
      <c r="G45" s="2" t="s">
        <v>157</v>
      </c>
      <c r="H45" s="2" t="s">
        <v>228</v>
      </c>
      <c r="I45" s="2" t="s">
        <v>215</v>
      </c>
      <c r="J45" s="2" t="s">
        <v>152</v>
      </c>
      <c r="K45" s="2" t="s">
        <v>248</v>
      </c>
      <c r="L45" s="2" t="s">
        <v>505</v>
      </c>
      <c r="M45" s="2" t="s">
        <v>602</v>
      </c>
    </row>
    <row r="46" spans="1:13">
      <c r="A46" s="96" t="s">
        <v>893</v>
      </c>
      <c r="B46" s="2" t="s">
        <v>894</v>
      </c>
      <c r="C46" s="2" t="s">
        <v>722</v>
      </c>
      <c r="D46" s="2" t="s">
        <v>381</v>
      </c>
      <c r="E46" s="2" t="s">
        <v>173</v>
      </c>
      <c r="F46" s="2" t="s">
        <v>310</v>
      </c>
      <c r="G46" s="2" t="s">
        <v>108</v>
      </c>
      <c r="H46" s="2" t="s">
        <v>263</v>
      </c>
      <c r="I46" s="2" t="s">
        <v>256</v>
      </c>
      <c r="J46" s="2" t="s">
        <v>223</v>
      </c>
      <c r="K46" s="2" t="s">
        <v>248</v>
      </c>
      <c r="L46" s="2" t="s">
        <v>505</v>
      </c>
      <c r="M46" s="2" t="s">
        <v>699</v>
      </c>
    </row>
    <row r="47" spans="1:13">
      <c r="A47" s="96" t="s">
        <v>895</v>
      </c>
      <c r="B47" s="2" t="s">
        <v>787</v>
      </c>
      <c r="C47" s="2" t="s">
        <v>720</v>
      </c>
      <c r="D47" s="2" t="s">
        <v>413</v>
      </c>
      <c r="E47" s="2" t="s">
        <v>243</v>
      </c>
      <c r="F47" s="2" t="s">
        <v>109</v>
      </c>
      <c r="G47" s="2" t="s">
        <v>117</v>
      </c>
      <c r="H47" s="2" t="s">
        <v>213</v>
      </c>
      <c r="I47" s="2" t="s">
        <v>199</v>
      </c>
      <c r="J47" s="2" t="s">
        <v>248</v>
      </c>
      <c r="K47" s="2" t="s">
        <v>150</v>
      </c>
      <c r="L47" s="2" t="s">
        <v>442</v>
      </c>
      <c r="M47" s="2" t="s">
        <v>755</v>
      </c>
    </row>
    <row r="48" spans="1:13">
      <c r="A48" s="96" t="s">
        <v>896</v>
      </c>
      <c r="B48" s="2" t="s">
        <v>773</v>
      </c>
      <c r="C48" s="2" t="s">
        <v>741</v>
      </c>
      <c r="D48" s="2" t="s">
        <v>430</v>
      </c>
      <c r="E48" s="2" t="s">
        <v>261</v>
      </c>
      <c r="F48" s="2" t="s">
        <v>156</v>
      </c>
      <c r="G48" s="2" t="s">
        <v>108</v>
      </c>
      <c r="H48" s="2" t="s">
        <v>152</v>
      </c>
      <c r="I48" s="2" t="s">
        <v>194</v>
      </c>
      <c r="J48" s="2" t="s">
        <v>223</v>
      </c>
      <c r="K48" s="2" t="s">
        <v>207</v>
      </c>
      <c r="L48" s="2" t="s">
        <v>601</v>
      </c>
      <c r="M48" s="2" t="s">
        <v>755</v>
      </c>
    </row>
    <row r="49" spans="1:13">
      <c r="A49" s="96" t="s">
        <v>897</v>
      </c>
      <c r="B49" s="2" t="s">
        <v>663</v>
      </c>
      <c r="C49" s="2" t="s">
        <v>838</v>
      </c>
      <c r="D49" s="2" t="s">
        <v>425</v>
      </c>
      <c r="E49" s="2" t="s">
        <v>118</v>
      </c>
      <c r="F49" s="2" t="s">
        <v>153</v>
      </c>
      <c r="G49" s="2" t="s">
        <v>114</v>
      </c>
      <c r="H49" s="2" t="s">
        <v>207</v>
      </c>
      <c r="I49" s="2" t="s">
        <v>192</v>
      </c>
      <c r="J49" s="2" t="s">
        <v>218</v>
      </c>
      <c r="K49" s="2" t="s">
        <v>208</v>
      </c>
      <c r="L49" s="2" t="s">
        <v>462</v>
      </c>
      <c r="M49" s="2" t="s">
        <v>664</v>
      </c>
    </row>
    <row r="50" spans="1:13">
      <c r="A50" s="96" t="s">
        <v>898</v>
      </c>
      <c r="B50" s="2" t="s">
        <v>899</v>
      </c>
      <c r="C50" s="2" t="s">
        <v>763</v>
      </c>
      <c r="D50" s="2" t="s">
        <v>404</v>
      </c>
      <c r="E50" s="2" t="s">
        <v>169</v>
      </c>
      <c r="F50" s="2" t="s">
        <v>159</v>
      </c>
      <c r="G50" s="2" t="s">
        <v>307</v>
      </c>
      <c r="H50" s="2" t="s">
        <v>248</v>
      </c>
      <c r="I50" s="2" t="s">
        <v>178</v>
      </c>
      <c r="J50" s="2" t="s">
        <v>207</v>
      </c>
      <c r="K50" s="2" t="s">
        <v>208</v>
      </c>
      <c r="L50" s="2" t="s">
        <v>462</v>
      </c>
      <c r="M50" s="2" t="s">
        <v>664</v>
      </c>
    </row>
    <row r="51" spans="1:13">
      <c r="A51" s="96" t="s">
        <v>900</v>
      </c>
      <c r="B51" s="2" t="s">
        <v>886</v>
      </c>
      <c r="C51" s="2" t="s">
        <v>782</v>
      </c>
      <c r="D51" s="2" t="s">
        <v>431</v>
      </c>
      <c r="E51" s="2" t="s">
        <v>204</v>
      </c>
      <c r="F51" s="2" t="s">
        <v>277</v>
      </c>
      <c r="G51" s="2" t="s">
        <v>108</v>
      </c>
      <c r="H51" s="2" t="s">
        <v>200</v>
      </c>
      <c r="I51" s="2" t="s">
        <v>262</v>
      </c>
      <c r="J51" s="2" t="s">
        <v>208</v>
      </c>
      <c r="K51" s="2" t="s">
        <v>222</v>
      </c>
      <c r="L51" s="2" t="s">
        <v>372</v>
      </c>
      <c r="M51" s="2" t="s">
        <v>485</v>
      </c>
    </row>
    <row r="52" spans="1:13">
      <c r="A52" s="96" t="s">
        <v>901</v>
      </c>
      <c r="B52" s="2" t="s">
        <v>721</v>
      </c>
      <c r="C52" s="2" t="s">
        <v>711</v>
      </c>
      <c r="D52" s="2" t="s">
        <v>423</v>
      </c>
      <c r="E52" s="2" t="s">
        <v>118</v>
      </c>
      <c r="F52" s="2" t="s">
        <v>277</v>
      </c>
      <c r="G52" s="2" t="s">
        <v>125</v>
      </c>
      <c r="H52" s="2" t="s">
        <v>200</v>
      </c>
      <c r="I52" s="2" t="s">
        <v>228</v>
      </c>
      <c r="J52" s="2" t="s">
        <v>148</v>
      </c>
      <c r="K52" s="2" t="s">
        <v>202</v>
      </c>
      <c r="L52" s="2" t="s">
        <v>456</v>
      </c>
      <c r="M52" s="2" t="s">
        <v>727</v>
      </c>
    </row>
    <row r="53" spans="1:13">
      <c r="A53" s="96" t="s">
        <v>902</v>
      </c>
      <c r="B53" s="2" t="s">
        <v>751</v>
      </c>
      <c r="C53" s="2" t="s">
        <v>761</v>
      </c>
      <c r="D53" s="2" t="s">
        <v>434</v>
      </c>
      <c r="E53" s="2" t="s">
        <v>169</v>
      </c>
      <c r="F53" s="2" t="s">
        <v>159</v>
      </c>
      <c r="G53" s="2" t="s">
        <v>127</v>
      </c>
      <c r="H53" s="2" t="s">
        <v>206</v>
      </c>
      <c r="I53" s="2" t="s">
        <v>225</v>
      </c>
      <c r="J53" s="2" t="s">
        <v>245</v>
      </c>
      <c r="K53" s="2" t="s">
        <v>171</v>
      </c>
      <c r="L53" s="2" t="s">
        <v>410</v>
      </c>
      <c r="M53" s="2" t="s">
        <v>485</v>
      </c>
    </row>
    <row r="54" spans="1:13">
      <c r="A54" s="96" t="s">
        <v>903</v>
      </c>
      <c r="B54" s="2" t="s">
        <v>904</v>
      </c>
      <c r="C54" s="2" t="s">
        <v>711</v>
      </c>
      <c r="D54" s="2" t="s">
        <v>416</v>
      </c>
      <c r="E54" s="2" t="s">
        <v>172</v>
      </c>
      <c r="F54" s="2" t="s">
        <v>279</v>
      </c>
      <c r="G54" s="2" t="s">
        <v>283</v>
      </c>
      <c r="H54" s="2" t="s">
        <v>245</v>
      </c>
      <c r="I54" s="2" t="s">
        <v>260</v>
      </c>
      <c r="J54" s="2" t="s">
        <v>150</v>
      </c>
      <c r="K54" s="2" t="s">
        <v>171</v>
      </c>
      <c r="L54" s="2" t="s">
        <v>455</v>
      </c>
      <c r="M54" s="2" t="s">
        <v>631</v>
      </c>
    </row>
    <row r="55" spans="1:13">
      <c r="A55" s="96" t="s">
        <v>905</v>
      </c>
      <c r="B55" s="2" t="s">
        <v>784</v>
      </c>
      <c r="C55" s="2" t="s">
        <v>609</v>
      </c>
      <c r="D55" s="2" t="s">
        <v>406</v>
      </c>
      <c r="E55" s="2" t="s">
        <v>142</v>
      </c>
      <c r="F55" s="2" t="s">
        <v>310</v>
      </c>
      <c r="G55" s="2" t="s">
        <v>108</v>
      </c>
      <c r="H55" s="2" t="s">
        <v>150</v>
      </c>
      <c r="I55" s="2" t="s">
        <v>224</v>
      </c>
      <c r="J55" s="2" t="s">
        <v>200</v>
      </c>
      <c r="K55" s="2" t="s">
        <v>209</v>
      </c>
      <c r="L55" s="2" t="s">
        <v>359</v>
      </c>
      <c r="M55" s="2" t="s">
        <v>662</v>
      </c>
    </row>
    <row r="56" spans="1:13">
      <c r="A56" s="96" t="s">
        <v>906</v>
      </c>
      <c r="B56" s="2" t="s">
        <v>907</v>
      </c>
      <c r="C56" s="2" t="s">
        <v>592</v>
      </c>
      <c r="D56" s="2" t="s">
        <v>389</v>
      </c>
      <c r="E56" s="2" t="s">
        <v>143</v>
      </c>
      <c r="F56" s="2" t="s">
        <v>278</v>
      </c>
      <c r="G56" s="2" t="s">
        <v>283</v>
      </c>
      <c r="H56" s="2" t="s">
        <v>245</v>
      </c>
      <c r="I56" s="2" t="s">
        <v>260</v>
      </c>
      <c r="J56" s="2" t="s">
        <v>150</v>
      </c>
      <c r="K56" s="2" t="s">
        <v>171</v>
      </c>
      <c r="L56" s="2" t="s">
        <v>359</v>
      </c>
      <c r="M56" s="2" t="s">
        <v>662</v>
      </c>
    </row>
    <row r="57" spans="1:13">
      <c r="A57" s="96" t="s">
        <v>908</v>
      </c>
      <c r="B57" s="2" t="s">
        <v>764</v>
      </c>
      <c r="C57" s="2" t="s">
        <v>733</v>
      </c>
      <c r="D57" s="2" t="s">
        <v>339</v>
      </c>
      <c r="E57" s="2" t="s">
        <v>143</v>
      </c>
      <c r="F57" s="2" t="s">
        <v>289</v>
      </c>
      <c r="G57" s="2" t="s">
        <v>283</v>
      </c>
      <c r="H57" s="2" t="s">
        <v>150</v>
      </c>
      <c r="I57" s="2" t="s">
        <v>262</v>
      </c>
      <c r="J57" s="2" t="s">
        <v>208</v>
      </c>
      <c r="K57" s="2" t="s">
        <v>222</v>
      </c>
      <c r="L57" s="2" t="s">
        <v>413</v>
      </c>
      <c r="M57" s="2" t="s">
        <v>693</v>
      </c>
    </row>
    <row r="58" spans="1:13">
      <c r="A58" s="96" t="s">
        <v>909</v>
      </c>
      <c r="B58" s="2" t="s">
        <v>777</v>
      </c>
      <c r="C58" s="2" t="s">
        <v>483</v>
      </c>
      <c r="D58" s="2" t="s">
        <v>369</v>
      </c>
      <c r="E58" s="2" t="s">
        <v>174</v>
      </c>
      <c r="F58" s="2" t="s">
        <v>159</v>
      </c>
      <c r="G58" s="2" t="s">
        <v>127</v>
      </c>
      <c r="H58" s="2" t="s">
        <v>206</v>
      </c>
      <c r="I58" s="2" t="s">
        <v>225</v>
      </c>
      <c r="J58" s="2" t="s">
        <v>245</v>
      </c>
      <c r="K58" s="2" t="s">
        <v>171</v>
      </c>
      <c r="L58" s="2" t="s">
        <v>456</v>
      </c>
      <c r="M58" s="2" t="s">
        <v>727</v>
      </c>
    </row>
    <row r="59" spans="1:13">
      <c r="A59" s="96" t="s">
        <v>910</v>
      </c>
      <c r="B59" s="2" t="s">
        <v>694</v>
      </c>
      <c r="C59" s="2" t="s">
        <v>625</v>
      </c>
      <c r="D59" s="2" t="s">
        <v>364</v>
      </c>
      <c r="E59" s="2" t="s">
        <v>136</v>
      </c>
      <c r="F59" s="2" t="s">
        <v>286</v>
      </c>
      <c r="G59" s="2" t="s">
        <v>307</v>
      </c>
      <c r="H59" s="2" t="s">
        <v>206</v>
      </c>
      <c r="I59" s="2" t="s">
        <v>225</v>
      </c>
      <c r="J59" s="2" t="s">
        <v>245</v>
      </c>
      <c r="K59" s="2" t="s">
        <v>168</v>
      </c>
      <c r="L59" s="2" t="s">
        <v>359</v>
      </c>
      <c r="M59" s="2" t="s">
        <v>662</v>
      </c>
    </row>
    <row r="60" spans="1:13">
      <c r="A60" s="96" t="s">
        <v>911</v>
      </c>
      <c r="B60" s="2" t="s">
        <v>561</v>
      </c>
      <c r="C60" s="2" t="s">
        <v>750</v>
      </c>
      <c r="D60" s="2" t="s">
        <v>391</v>
      </c>
      <c r="E60" s="2" t="s">
        <v>110</v>
      </c>
      <c r="F60" s="2" t="s">
        <v>278</v>
      </c>
      <c r="G60" s="2" t="s">
        <v>157</v>
      </c>
      <c r="H60" s="2" t="s">
        <v>150</v>
      </c>
      <c r="I60" s="2" t="s">
        <v>224</v>
      </c>
      <c r="J60" s="2" t="s">
        <v>208</v>
      </c>
      <c r="K60" s="2" t="s">
        <v>209</v>
      </c>
      <c r="L60" s="2" t="s">
        <v>403</v>
      </c>
      <c r="M60" s="2" t="s">
        <v>693</v>
      </c>
    </row>
    <row r="61" spans="1:13">
      <c r="A61" s="96" t="s">
        <v>912</v>
      </c>
      <c r="B61" s="2" t="s">
        <v>846</v>
      </c>
      <c r="C61" s="2" t="s">
        <v>644</v>
      </c>
      <c r="D61" s="2" t="s">
        <v>308</v>
      </c>
      <c r="E61" s="2" t="s">
        <v>143</v>
      </c>
      <c r="F61" s="2" t="s">
        <v>278</v>
      </c>
      <c r="G61" s="2" t="s">
        <v>283</v>
      </c>
      <c r="H61" s="2" t="s">
        <v>245</v>
      </c>
      <c r="I61" s="2" t="s">
        <v>224</v>
      </c>
      <c r="J61" s="2" t="s">
        <v>200</v>
      </c>
      <c r="K61" s="2" t="s">
        <v>209</v>
      </c>
      <c r="L61" s="2" t="s">
        <v>359</v>
      </c>
      <c r="M61" s="2" t="s">
        <v>631</v>
      </c>
    </row>
    <row r="62" spans="1:13">
      <c r="A62" s="96" t="s">
        <v>913</v>
      </c>
      <c r="B62" s="2" t="s">
        <v>643</v>
      </c>
      <c r="C62" s="2" t="s">
        <v>534</v>
      </c>
      <c r="D62" s="2" t="s">
        <v>402</v>
      </c>
      <c r="E62" s="2" t="s">
        <v>174</v>
      </c>
      <c r="F62" s="2" t="s">
        <v>159</v>
      </c>
      <c r="G62" s="2" t="s">
        <v>127</v>
      </c>
      <c r="H62" s="2" t="s">
        <v>206</v>
      </c>
      <c r="I62" s="2" t="s">
        <v>225</v>
      </c>
      <c r="J62" s="2" t="s">
        <v>245</v>
      </c>
      <c r="K62" s="2" t="s">
        <v>171</v>
      </c>
      <c r="L62" s="2" t="s">
        <v>408</v>
      </c>
      <c r="M62" s="2" t="s">
        <v>660</v>
      </c>
    </row>
    <row r="63" spans="1:13">
      <c r="A63" s="96" t="s">
        <v>914</v>
      </c>
      <c r="B63" s="2" t="s">
        <v>742</v>
      </c>
      <c r="C63" s="2" t="s">
        <v>686</v>
      </c>
      <c r="D63" s="2" t="s">
        <v>416</v>
      </c>
      <c r="E63" s="2" t="s">
        <v>226</v>
      </c>
      <c r="F63" s="2" t="s">
        <v>117</v>
      </c>
      <c r="G63" s="2" t="s">
        <v>106</v>
      </c>
      <c r="H63" s="2" t="s">
        <v>196</v>
      </c>
      <c r="I63" s="2" t="s">
        <v>167</v>
      </c>
      <c r="J63" s="2" t="s">
        <v>212</v>
      </c>
      <c r="K63" s="2" t="s">
        <v>245</v>
      </c>
      <c r="L63" s="2" t="s">
        <v>454</v>
      </c>
      <c r="M63" s="2" t="s">
        <v>631</v>
      </c>
    </row>
    <row r="64" spans="1:13">
      <c r="A64" s="96" t="s">
        <v>915</v>
      </c>
      <c r="B64" s="2" t="s">
        <v>742</v>
      </c>
      <c r="C64" s="2" t="s">
        <v>702</v>
      </c>
      <c r="D64" s="2" t="s">
        <v>339</v>
      </c>
      <c r="E64" s="2" t="s">
        <v>226</v>
      </c>
      <c r="F64" s="2" t="s">
        <v>281</v>
      </c>
      <c r="G64" s="2" t="s">
        <v>120</v>
      </c>
      <c r="H64" s="2" t="s">
        <v>264</v>
      </c>
      <c r="I64" s="2" t="s">
        <v>214</v>
      </c>
      <c r="J64" s="2" t="s">
        <v>213</v>
      </c>
      <c r="K64" s="2" t="s">
        <v>206</v>
      </c>
      <c r="L64" s="2" t="s">
        <v>359</v>
      </c>
      <c r="M64" s="2" t="s">
        <v>566</v>
      </c>
    </row>
    <row r="65" spans="1:13">
      <c r="A65" s="96" t="s">
        <v>916</v>
      </c>
      <c r="B65" s="2" t="s">
        <v>647</v>
      </c>
      <c r="C65" s="2" t="s">
        <v>688</v>
      </c>
      <c r="D65" s="2" t="s">
        <v>336</v>
      </c>
      <c r="E65" s="2" t="s">
        <v>265</v>
      </c>
      <c r="F65" s="2" t="s">
        <v>103</v>
      </c>
      <c r="G65" s="2" t="s">
        <v>147</v>
      </c>
      <c r="H65" s="2" t="s">
        <v>213</v>
      </c>
      <c r="I65" s="2" t="s">
        <v>199</v>
      </c>
      <c r="J65" s="2" t="s">
        <v>248</v>
      </c>
      <c r="K65" s="2" t="s">
        <v>150</v>
      </c>
      <c r="L65" s="2" t="s">
        <v>437</v>
      </c>
      <c r="M65" s="2" t="s">
        <v>662</v>
      </c>
    </row>
    <row r="66" spans="1:13">
      <c r="A66" s="96" t="s">
        <v>917</v>
      </c>
      <c r="B66" s="2" t="s">
        <v>555</v>
      </c>
      <c r="C66" s="2" t="s">
        <v>708</v>
      </c>
      <c r="D66" s="2" t="s">
        <v>461</v>
      </c>
      <c r="E66" s="2" t="s">
        <v>193</v>
      </c>
      <c r="F66" s="2" t="s">
        <v>160</v>
      </c>
      <c r="G66" s="2" t="s">
        <v>123</v>
      </c>
      <c r="H66" s="2" t="s">
        <v>212</v>
      </c>
      <c r="I66" s="2" t="s">
        <v>192</v>
      </c>
      <c r="J66" s="2" t="s">
        <v>206</v>
      </c>
      <c r="K66" s="2" t="s">
        <v>148</v>
      </c>
      <c r="L66" s="2" t="s">
        <v>450</v>
      </c>
      <c r="M66" s="2" t="s">
        <v>693</v>
      </c>
    </row>
    <row r="67" spans="1:13">
      <c r="A67" s="96" t="s">
        <v>918</v>
      </c>
      <c r="B67" s="2" t="s">
        <v>785</v>
      </c>
      <c r="C67" s="2" t="s">
        <v>542</v>
      </c>
      <c r="D67" s="2" t="s">
        <v>443</v>
      </c>
      <c r="E67" s="2" t="s">
        <v>142</v>
      </c>
      <c r="F67" s="2" t="s">
        <v>277</v>
      </c>
      <c r="G67" s="2" t="s">
        <v>108</v>
      </c>
      <c r="H67" s="2" t="s">
        <v>200</v>
      </c>
      <c r="I67" s="2" t="s">
        <v>228</v>
      </c>
      <c r="J67" s="2" t="s">
        <v>168</v>
      </c>
      <c r="K67" s="2" t="s">
        <v>119</v>
      </c>
      <c r="L67" s="2" t="s">
        <v>406</v>
      </c>
      <c r="M67" s="2" t="s">
        <v>581</v>
      </c>
    </row>
    <row r="68" spans="1:13">
      <c r="A68" s="96" t="s">
        <v>919</v>
      </c>
      <c r="B68" s="2" t="s">
        <v>779</v>
      </c>
      <c r="C68" s="2" t="s">
        <v>477</v>
      </c>
      <c r="D68" s="2" t="s">
        <v>436</v>
      </c>
      <c r="E68" s="2" t="s">
        <v>266</v>
      </c>
      <c r="F68" s="2" t="s">
        <v>272</v>
      </c>
      <c r="G68" s="2" t="s">
        <v>104</v>
      </c>
      <c r="H68" s="2" t="s">
        <v>218</v>
      </c>
      <c r="I68" s="2" t="s">
        <v>225</v>
      </c>
      <c r="J68" s="2" t="s">
        <v>150</v>
      </c>
      <c r="K68" s="2" t="s">
        <v>171</v>
      </c>
      <c r="L68" s="2" t="s">
        <v>409</v>
      </c>
      <c r="M68" s="2" t="s">
        <v>680</v>
      </c>
    </row>
    <row r="69" spans="1:13">
      <c r="A69" s="96" t="s">
        <v>920</v>
      </c>
      <c r="B69" s="2" t="s">
        <v>714</v>
      </c>
      <c r="C69" s="2" t="s">
        <v>562</v>
      </c>
      <c r="D69" s="2" t="s">
        <v>308</v>
      </c>
      <c r="E69" s="2" t="s">
        <v>174</v>
      </c>
      <c r="F69" s="2" t="s">
        <v>159</v>
      </c>
      <c r="G69" s="2" t="s">
        <v>127</v>
      </c>
      <c r="H69" s="2" t="s">
        <v>206</v>
      </c>
      <c r="I69" s="2" t="s">
        <v>225</v>
      </c>
      <c r="J69" s="2" t="s">
        <v>150</v>
      </c>
      <c r="K69" s="2" t="s">
        <v>171</v>
      </c>
      <c r="L69" s="2" t="s">
        <v>416</v>
      </c>
      <c r="M69" s="2" t="s">
        <v>582</v>
      </c>
    </row>
    <row r="70" spans="1:13">
      <c r="A70" s="96" t="s">
        <v>921</v>
      </c>
      <c r="B70" s="2" t="s">
        <v>762</v>
      </c>
      <c r="C70" s="2" t="s">
        <v>518</v>
      </c>
      <c r="D70" s="2" t="s">
        <v>316</v>
      </c>
      <c r="E70" s="2" t="s">
        <v>120</v>
      </c>
      <c r="F70" s="2" t="s">
        <v>153</v>
      </c>
      <c r="G70" s="2" t="s">
        <v>114</v>
      </c>
      <c r="H70" s="2" t="s">
        <v>208</v>
      </c>
      <c r="I70" s="2" t="s">
        <v>152</v>
      </c>
      <c r="J70" s="2" t="s">
        <v>171</v>
      </c>
      <c r="K70" s="2" t="s">
        <v>119</v>
      </c>
      <c r="L70" s="2" t="s">
        <v>336</v>
      </c>
      <c r="M70" s="2" t="s">
        <v>732</v>
      </c>
    </row>
    <row r="71" spans="1:13">
      <c r="A71" s="96" t="s">
        <v>922</v>
      </c>
      <c r="B71" s="2" t="s">
        <v>713</v>
      </c>
      <c r="C71" s="2" t="s">
        <v>543</v>
      </c>
      <c r="D71" s="2" t="s">
        <v>392</v>
      </c>
      <c r="E71" s="2" t="s">
        <v>106</v>
      </c>
      <c r="F71" s="2" t="s">
        <v>146</v>
      </c>
      <c r="G71" s="2" t="s">
        <v>271</v>
      </c>
      <c r="H71" s="2" t="s">
        <v>171</v>
      </c>
      <c r="I71" s="2" t="s">
        <v>264</v>
      </c>
      <c r="J71" s="2" t="s">
        <v>209</v>
      </c>
      <c r="K71" s="2" t="s">
        <v>145</v>
      </c>
      <c r="L71" s="2" t="s">
        <v>423</v>
      </c>
      <c r="M71" s="2" t="s">
        <v>576</v>
      </c>
    </row>
    <row r="72" spans="1:13">
      <c r="A72" s="96" t="s">
        <v>923</v>
      </c>
      <c r="B72" s="2" t="s">
        <v>759</v>
      </c>
      <c r="C72" s="2" t="s">
        <v>566</v>
      </c>
      <c r="D72" s="2" t="s">
        <v>426</v>
      </c>
      <c r="E72" s="2" t="s">
        <v>123</v>
      </c>
      <c r="F72" s="2" t="s">
        <v>109</v>
      </c>
      <c r="G72" s="2" t="s">
        <v>281</v>
      </c>
      <c r="H72" s="2" t="s">
        <v>209</v>
      </c>
      <c r="I72" s="2" t="s">
        <v>196</v>
      </c>
      <c r="J72" s="2" t="s">
        <v>202</v>
      </c>
      <c r="K72" s="2" t="s">
        <v>131</v>
      </c>
      <c r="L72" s="2" t="s">
        <v>308</v>
      </c>
      <c r="M72" s="2" t="s">
        <v>767</v>
      </c>
    </row>
    <row r="73" spans="1:13">
      <c r="A73" s="96" t="s">
        <v>924</v>
      </c>
      <c r="B73" s="2" t="s">
        <v>715</v>
      </c>
      <c r="C73" s="2" t="s">
        <v>727</v>
      </c>
      <c r="D73" s="2" t="s">
        <v>344</v>
      </c>
      <c r="E73" s="2" t="s">
        <v>147</v>
      </c>
      <c r="F73" s="2" t="s">
        <v>129</v>
      </c>
      <c r="G73" s="2" t="s">
        <v>270</v>
      </c>
      <c r="H73" s="2" t="s">
        <v>244</v>
      </c>
      <c r="I73" s="2" t="s">
        <v>264</v>
      </c>
      <c r="J73" s="2" t="s">
        <v>222</v>
      </c>
      <c r="K73" s="2" t="s">
        <v>173</v>
      </c>
      <c r="L73" s="2" t="s">
        <v>308</v>
      </c>
      <c r="M73" s="2" t="s">
        <v>767</v>
      </c>
    </row>
    <row r="74" spans="1:13">
      <c r="A74" s="96" t="s">
        <v>925</v>
      </c>
      <c r="B74" s="2" t="s">
        <v>734</v>
      </c>
      <c r="C74" s="2" t="s">
        <v>757</v>
      </c>
      <c r="D74" s="2" t="s">
        <v>326</v>
      </c>
      <c r="E74" s="2" t="s">
        <v>120</v>
      </c>
      <c r="F74" s="2" t="s">
        <v>153</v>
      </c>
      <c r="G74" s="2" t="s">
        <v>114</v>
      </c>
      <c r="H74" s="2" t="s">
        <v>148</v>
      </c>
      <c r="I74" s="2" t="s">
        <v>152</v>
      </c>
      <c r="J74" s="2" t="s">
        <v>171</v>
      </c>
      <c r="K74" s="2" t="s">
        <v>141</v>
      </c>
      <c r="L74" s="2" t="s">
        <v>461</v>
      </c>
      <c r="M74" s="2" t="s">
        <v>576</v>
      </c>
    </row>
    <row r="75" spans="1:13">
      <c r="A75" s="96" t="s">
        <v>926</v>
      </c>
      <c r="B75" s="2" t="s">
        <v>696</v>
      </c>
      <c r="C75" s="2" t="s">
        <v>573</v>
      </c>
      <c r="D75" s="2" t="s">
        <v>370</v>
      </c>
      <c r="E75" s="2" t="s">
        <v>121</v>
      </c>
      <c r="F75" s="2" t="s">
        <v>156</v>
      </c>
      <c r="G75" s="2" t="s">
        <v>125</v>
      </c>
      <c r="H75" s="2" t="s">
        <v>208</v>
      </c>
      <c r="I75" s="2" t="s">
        <v>263</v>
      </c>
      <c r="J75" s="2" t="s">
        <v>168</v>
      </c>
      <c r="K75" s="2" t="s">
        <v>119</v>
      </c>
      <c r="L75" s="2" t="s">
        <v>402</v>
      </c>
      <c r="M75" s="2" t="s">
        <v>639</v>
      </c>
    </row>
    <row r="76" spans="1:13">
      <c r="A76" s="76" t="s">
        <v>5</v>
      </c>
      <c r="B76" s="2" t="s">
        <v>549</v>
      </c>
      <c r="C76" s="2" t="s">
        <v>712</v>
      </c>
      <c r="D76" s="2" t="s">
        <v>284</v>
      </c>
      <c r="E76" s="2" t="s">
        <v>212</v>
      </c>
      <c r="F76" s="2" t="s">
        <v>174</v>
      </c>
      <c r="G76" s="2" t="s">
        <v>169</v>
      </c>
      <c r="H76" s="2" t="s">
        <v>126</v>
      </c>
      <c r="I76" s="2" t="s">
        <v>214</v>
      </c>
      <c r="J76" s="2" t="s">
        <v>262</v>
      </c>
      <c r="K76" s="2" t="s">
        <v>218</v>
      </c>
      <c r="L76" s="2" t="s">
        <v>355</v>
      </c>
      <c r="M76" s="2" t="s">
        <v>482</v>
      </c>
    </row>
    <row r="77" spans="1:13">
      <c r="A77" s="96" t="s">
        <v>824</v>
      </c>
      <c r="B77" s="2" t="s">
        <v>705</v>
      </c>
      <c r="C77" s="2" t="s">
        <v>638</v>
      </c>
      <c r="D77" s="2" t="s">
        <v>335</v>
      </c>
      <c r="E77" s="2" t="s">
        <v>219</v>
      </c>
      <c r="F77" s="2" t="s">
        <v>149</v>
      </c>
      <c r="G77" s="2" t="s">
        <v>131</v>
      </c>
      <c r="H77" s="2" t="s">
        <v>220</v>
      </c>
      <c r="I77" s="2" t="s">
        <v>211</v>
      </c>
      <c r="J77" s="2" t="s">
        <v>255</v>
      </c>
      <c r="K77" s="2" t="s">
        <v>224</v>
      </c>
      <c r="L77" s="2" t="s">
        <v>268</v>
      </c>
      <c r="M77" s="2" t="s">
        <v>552</v>
      </c>
    </row>
    <row r="78" spans="1:13">
      <c r="A78" s="96" t="s">
        <v>826</v>
      </c>
      <c r="B78" s="2" t="s">
        <v>592</v>
      </c>
      <c r="C78" s="2" t="s">
        <v>693</v>
      </c>
      <c r="D78" s="2" t="s">
        <v>355</v>
      </c>
      <c r="E78" s="2" t="s">
        <v>242</v>
      </c>
      <c r="F78" s="2" t="s">
        <v>173</v>
      </c>
      <c r="G78" s="2" t="s">
        <v>200</v>
      </c>
      <c r="H78" s="2" t="s">
        <v>170</v>
      </c>
      <c r="I78" s="2" t="s">
        <v>177</v>
      </c>
      <c r="J78" s="2" t="s">
        <v>253</v>
      </c>
      <c r="K78" s="2" t="s">
        <v>216</v>
      </c>
      <c r="L78" s="2" t="s">
        <v>374</v>
      </c>
      <c r="M78" s="2" t="s">
        <v>508</v>
      </c>
    </row>
    <row r="79" spans="1:13">
      <c r="A79" s="96" t="s">
        <v>828</v>
      </c>
      <c r="B79" s="2" t="s">
        <v>711</v>
      </c>
      <c r="C79" s="2" t="s">
        <v>662</v>
      </c>
      <c r="D79" s="2" t="s">
        <v>365</v>
      </c>
      <c r="E79" s="2" t="s">
        <v>242</v>
      </c>
      <c r="F79" s="2" t="s">
        <v>131</v>
      </c>
      <c r="G79" s="2" t="s">
        <v>208</v>
      </c>
      <c r="H79" s="2" t="s">
        <v>246</v>
      </c>
      <c r="I79" s="2" t="s">
        <v>177</v>
      </c>
      <c r="J79" s="2" t="s">
        <v>211</v>
      </c>
      <c r="K79" s="2" t="s">
        <v>227</v>
      </c>
      <c r="L79" s="2" t="s">
        <v>421</v>
      </c>
      <c r="M79" s="2" t="s">
        <v>538</v>
      </c>
    </row>
    <row r="80" spans="1:13">
      <c r="A80" s="96" t="s">
        <v>830</v>
      </c>
      <c r="B80" s="2" t="s">
        <v>617</v>
      </c>
      <c r="C80" s="2" t="s">
        <v>630</v>
      </c>
      <c r="D80" s="2" t="s">
        <v>318</v>
      </c>
      <c r="E80" s="2" t="s">
        <v>242</v>
      </c>
      <c r="F80" s="2" t="s">
        <v>131</v>
      </c>
      <c r="G80" s="2" t="s">
        <v>208</v>
      </c>
      <c r="H80" s="2" t="s">
        <v>246</v>
      </c>
      <c r="I80" s="2" t="s">
        <v>134</v>
      </c>
      <c r="J80" s="2" t="s">
        <v>257</v>
      </c>
      <c r="K80" s="2" t="s">
        <v>167</v>
      </c>
      <c r="L80" s="2" t="s">
        <v>421</v>
      </c>
      <c r="M80" s="2" t="s">
        <v>495</v>
      </c>
    </row>
    <row r="81" spans="1:13">
      <c r="A81" s="96" t="s">
        <v>834</v>
      </c>
      <c r="B81" s="2" t="s">
        <v>733</v>
      </c>
      <c r="C81" s="2" t="s">
        <v>767</v>
      </c>
      <c r="D81" s="2" t="s">
        <v>300</v>
      </c>
      <c r="E81" s="2" t="s">
        <v>199</v>
      </c>
      <c r="F81" s="2" t="s">
        <v>204</v>
      </c>
      <c r="G81" s="2" t="s">
        <v>141</v>
      </c>
      <c r="H81" s="2" t="s">
        <v>221</v>
      </c>
      <c r="I81" s="2" t="s">
        <v>217</v>
      </c>
      <c r="J81" s="2" t="s">
        <v>151</v>
      </c>
      <c r="K81" s="2" t="s">
        <v>260</v>
      </c>
      <c r="L81" s="2" t="s">
        <v>292</v>
      </c>
      <c r="M81" s="2" t="s">
        <v>616</v>
      </c>
    </row>
    <row r="82" spans="1:13">
      <c r="A82" s="96" t="s">
        <v>836</v>
      </c>
      <c r="B82" s="2" t="s">
        <v>746</v>
      </c>
      <c r="C82" s="2" t="s">
        <v>757</v>
      </c>
      <c r="D82" s="2" t="s">
        <v>331</v>
      </c>
      <c r="E82" s="2" t="s">
        <v>216</v>
      </c>
      <c r="F82" s="2" t="s">
        <v>133</v>
      </c>
      <c r="G82" s="2" t="s">
        <v>209</v>
      </c>
      <c r="H82" s="2" t="s">
        <v>211</v>
      </c>
      <c r="I82" s="2" t="s">
        <v>170</v>
      </c>
      <c r="J82" s="2" t="s">
        <v>220</v>
      </c>
      <c r="K82" s="2" t="s">
        <v>126</v>
      </c>
      <c r="L82" s="2" t="s">
        <v>292</v>
      </c>
      <c r="M82" s="2" t="s">
        <v>494</v>
      </c>
    </row>
    <row r="83" spans="1:13">
      <c r="A83" s="96" t="s">
        <v>839</v>
      </c>
      <c r="B83" s="2" t="s">
        <v>749</v>
      </c>
      <c r="C83" s="2" t="s">
        <v>727</v>
      </c>
      <c r="D83" s="2" t="s">
        <v>297</v>
      </c>
      <c r="E83" s="2" t="s">
        <v>215</v>
      </c>
      <c r="F83" s="2" t="s">
        <v>112</v>
      </c>
      <c r="G83" s="2" t="s">
        <v>168</v>
      </c>
      <c r="H83" s="2" t="s">
        <v>249</v>
      </c>
      <c r="I83" s="2" t="s">
        <v>258</v>
      </c>
      <c r="J83" s="2" t="s">
        <v>221</v>
      </c>
      <c r="K83" s="2" t="s">
        <v>178</v>
      </c>
      <c r="L83" s="2" t="s">
        <v>361</v>
      </c>
      <c r="M83" s="2" t="s">
        <v>615</v>
      </c>
    </row>
    <row r="84" spans="1:13">
      <c r="A84" s="96" t="s">
        <v>841</v>
      </c>
      <c r="B84" s="2" t="s">
        <v>483</v>
      </c>
      <c r="C84" s="2" t="s">
        <v>660</v>
      </c>
      <c r="D84" s="2" t="s">
        <v>298</v>
      </c>
      <c r="E84" s="2" t="s">
        <v>199</v>
      </c>
      <c r="F84" s="2" t="s">
        <v>133</v>
      </c>
      <c r="G84" s="2" t="s">
        <v>209</v>
      </c>
      <c r="H84" s="2" t="s">
        <v>257</v>
      </c>
      <c r="I84" s="2" t="s">
        <v>122</v>
      </c>
      <c r="J84" s="2" t="s">
        <v>197</v>
      </c>
      <c r="K84" s="2" t="s">
        <v>126</v>
      </c>
      <c r="L84" s="2" t="s">
        <v>292</v>
      </c>
      <c r="M84" s="2" t="s">
        <v>494</v>
      </c>
    </row>
    <row r="85" spans="1:13">
      <c r="A85" s="96" t="s">
        <v>842</v>
      </c>
      <c r="B85" s="2" t="s">
        <v>754</v>
      </c>
      <c r="C85" s="2" t="s">
        <v>603</v>
      </c>
      <c r="D85" s="2" t="s">
        <v>345</v>
      </c>
      <c r="E85" s="2" t="s">
        <v>192</v>
      </c>
      <c r="F85" s="2" t="s">
        <v>203</v>
      </c>
      <c r="G85" s="2" t="s">
        <v>222</v>
      </c>
      <c r="H85" s="2" t="s">
        <v>252</v>
      </c>
      <c r="I85" s="2" t="s">
        <v>201</v>
      </c>
      <c r="J85" s="2" t="s">
        <v>215</v>
      </c>
      <c r="K85" s="2" t="s">
        <v>219</v>
      </c>
      <c r="L85" s="2" t="s">
        <v>268</v>
      </c>
      <c r="M85" s="2" t="s">
        <v>615</v>
      </c>
    </row>
    <row r="86" spans="1:13">
      <c r="A86" s="96" t="s">
        <v>844</v>
      </c>
      <c r="B86" s="2" t="s">
        <v>715</v>
      </c>
      <c r="C86" s="2" t="s">
        <v>662</v>
      </c>
      <c r="D86" s="2" t="s">
        <v>357</v>
      </c>
      <c r="E86" s="2" t="s">
        <v>199</v>
      </c>
      <c r="F86" s="2" t="s">
        <v>176</v>
      </c>
      <c r="G86" s="2" t="s">
        <v>244</v>
      </c>
      <c r="H86" s="2" t="s">
        <v>151</v>
      </c>
      <c r="I86" s="2" t="s">
        <v>221</v>
      </c>
      <c r="J86" s="2" t="s">
        <v>242</v>
      </c>
      <c r="K86" s="2" t="s">
        <v>126</v>
      </c>
      <c r="L86" s="2" t="s">
        <v>367</v>
      </c>
      <c r="M86" s="2" t="s">
        <v>538</v>
      </c>
    </row>
    <row r="87" spans="1:13">
      <c r="A87" s="96" t="s">
        <v>847</v>
      </c>
      <c r="B87" s="2" t="s">
        <v>648</v>
      </c>
      <c r="C87" s="2" t="s">
        <v>485</v>
      </c>
      <c r="D87" s="2" t="s">
        <v>331</v>
      </c>
      <c r="E87" s="2" t="s">
        <v>194</v>
      </c>
      <c r="F87" s="2" t="s">
        <v>141</v>
      </c>
      <c r="G87" s="2" t="s">
        <v>200</v>
      </c>
      <c r="H87" s="2" t="s">
        <v>201</v>
      </c>
      <c r="I87" s="2" t="s">
        <v>249</v>
      </c>
      <c r="J87" s="2" t="s">
        <v>151</v>
      </c>
      <c r="K87" s="2" t="s">
        <v>167</v>
      </c>
      <c r="L87" s="2" t="s">
        <v>353</v>
      </c>
      <c r="M87" s="2" t="s">
        <v>545</v>
      </c>
    </row>
    <row r="88" spans="1:13">
      <c r="A88" s="96" t="s">
        <v>851</v>
      </c>
      <c r="B88" s="2" t="s">
        <v>648</v>
      </c>
      <c r="C88" s="2" t="s">
        <v>485</v>
      </c>
      <c r="D88" s="2" t="s">
        <v>331</v>
      </c>
      <c r="E88" s="2" t="s">
        <v>256</v>
      </c>
      <c r="F88" s="2" t="s">
        <v>119</v>
      </c>
      <c r="G88" s="2" t="s">
        <v>150</v>
      </c>
      <c r="H88" s="2" t="s">
        <v>198</v>
      </c>
      <c r="I88" s="2" t="s">
        <v>191</v>
      </c>
      <c r="J88" s="2" t="s">
        <v>255</v>
      </c>
      <c r="K88" s="2" t="s">
        <v>167</v>
      </c>
      <c r="L88" s="2" t="s">
        <v>367</v>
      </c>
      <c r="M88" s="2" t="s">
        <v>538</v>
      </c>
    </row>
    <row r="89" spans="1:13">
      <c r="A89" s="96" t="s">
        <v>852</v>
      </c>
      <c r="B89" s="2" t="s">
        <v>629</v>
      </c>
      <c r="C89" s="2" t="s">
        <v>613</v>
      </c>
      <c r="D89" s="2" t="s">
        <v>298</v>
      </c>
      <c r="E89" s="2" t="s">
        <v>255</v>
      </c>
      <c r="F89" s="2" t="s">
        <v>202</v>
      </c>
      <c r="G89" s="2" t="s">
        <v>245</v>
      </c>
      <c r="H89" s="2" t="s">
        <v>198</v>
      </c>
      <c r="I89" s="2" t="s">
        <v>191</v>
      </c>
      <c r="J89" s="2" t="s">
        <v>255</v>
      </c>
      <c r="K89" s="2" t="s">
        <v>195</v>
      </c>
      <c r="L89" s="2" t="s">
        <v>367</v>
      </c>
      <c r="M89" s="2" t="s">
        <v>545</v>
      </c>
    </row>
    <row r="90" spans="1:13">
      <c r="A90" s="96" t="s">
        <v>854</v>
      </c>
      <c r="B90" s="2" t="s">
        <v>629</v>
      </c>
      <c r="C90" s="2" t="s">
        <v>550</v>
      </c>
      <c r="D90" s="2" t="s">
        <v>331</v>
      </c>
      <c r="E90" s="2" t="s">
        <v>215</v>
      </c>
      <c r="F90" s="2" t="s">
        <v>173</v>
      </c>
      <c r="G90" s="2" t="s">
        <v>244</v>
      </c>
      <c r="H90" s="2" t="s">
        <v>251</v>
      </c>
      <c r="I90" s="2" t="s">
        <v>197</v>
      </c>
      <c r="J90" s="2" t="s">
        <v>194</v>
      </c>
      <c r="K90" s="2" t="s">
        <v>225</v>
      </c>
      <c r="L90" s="2" t="s">
        <v>421</v>
      </c>
      <c r="M90" s="2" t="s">
        <v>687</v>
      </c>
    </row>
    <row r="91" spans="1:13">
      <c r="A91" s="96" t="s">
        <v>856</v>
      </c>
      <c r="B91" s="2" t="s">
        <v>776</v>
      </c>
      <c r="C91" s="2" t="s">
        <v>708</v>
      </c>
      <c r="D91" s="2" t="s">
        <v>292</v>
      </c>
      <c r="E91" s="2" t="s">
        <v>191</v>
      </c>
      <c r="F91" s="2" t="s">
        <v>168</v>
      </c>
      <c r="G91" s="2" t="s">
        <v>206</v>
      </c>
      <c r="H91" s="2" t="s">
        <v>221</v>
      </c>
      <c r="I91" s="2" t="s">
        <v>253</v>
      </c>
      <c r="J91" s="2" t="s">
        <v>151</v>
      </c>
      <c r="K91" s="2" t="s">
        <v>214</v>
      </c>
      <c r="L91" s="2" t="s">
        <v>326</v>
      </c>
      <c r="M91" s="2" t="s">
        <v>588</v>
      </c>
    </row>
    <row r="92" spans="1:13">
      <c r="A92" s="96" t="s">
        <v>858</v>
      </c>
      <c r="B92" s="2" t="s">
        <v>785</v>
      </c>
      <c r="C92" s="2" t="s">
        <v>559</v>
      </c>
      <c r="D92" s="2" t="s">
        <v>379</v>
      </c>
      <c r="E92" s="2" t="s">
        <v>122</v>
      </c>
      <c r="F92" s="2" t="s">
        <v>166</v>
      </c>
      <c r="G92" s="2" t="s">
        <v>196</v>
      </c>
      <c r="H92" s="2" t="s">
        <v>217</v>
      </c>
      <c r="I92" s="2" t="s">
        <v>258</v>
      </c>
      <c r="J92" s="2" t="s">
        <v>257</v>
      </c>
      <c r="K92" s="2" t="s">
        <v>247</v>
      </c>
      <c r="L92" s="2" t="s">
        <v>366</v>
      </c>
      <c r="M92" s="2" t="s">
        <v>577</v>
      </c>
    </row>
    <row r="93" spans="1:13">
      <c r="A93" s="96" t="s">
        <v>861</v>
      </c>
      <c r="B93" s="2" t="s">
        <v>766</v>
      </c>
      <c r="C93" s="2" t="s">
        <v>497</v>
      </c>
      <c r="D93" s="2" t="s">
        <v>326</v>
      </c>
      <c r="E93" s="2" t="s">
        <v>170</v>
      </c>
      <c r="F93" s="2" t="s">
        <v>218</v>
      </c>
      <c r="G93" s="2" t="s">
        <v>264</v>
      </c>
      <c r="H93" s="2" t="s">
        <v>246</v>
      </c>
      <c r="I93" s="2" t="s">
        <v>254</v>
      </c>
      <c r="J93" s="2" t="s">
        <v>191</v>
      </c>
      <c r="K93" s="2" t="s">
        <v>251</v>
      </c>
      <c r="L93" s="2" t="s">
        <v>333</v>
      </c>
      <c r="M93" s="2" t="s">
        <v>667</v>
      </c>
    </row>
    <row r="94" spans="1:13">
      <c r="A94" s="96" t="s">
        <v>865</v>
      </c>
      <c r="B94" s="2" t="s">
        <v>548</v>
      </c>
      <c r="C94" s="2" t="s">
        <v>756</v>
      </c>
      <c r="D94" s="2" t="s">
        <v>386</v>
      </c>
      <c r="E94" s="2" t="s">
        <v>191</v>
      </c>
      <c r="F94" s="2" t="s">
        <v>208</v>
      </c>
      <c r="G94" s="2" t="s">
        <v>248</v>
      </c>
      <c r="H94" s="2" t="s">
        <v>211</v>
      </c>
      <c r="I94" s="2" t="s">
        <v>246</v>
      </c>
      <c r="J94" s="2" t="s">
        <v>198</v>
      </c>
      <c r="K94" s="2" t="s">
        <v>256</v>
      </c>
      <c r="L94" s="2" t="s">
        <v>304</v>
      </c>
      <c r="M94" s="2" t="s">
        <v>661</v>
      </c>
    </row>
    <row r="95" spans="1:13">
      <c r="A95" s="96" t="s">
        <v>866</v>
      </c>
      <c r="B95" s="2" t="s">
        <v>475</v>
      </c>
      <c r="C95" s="2" t="s">
        <v>756</v>
      </c>
      <c r="D95" s="2" t="s">
        <v>386</v>
      </c>
      <c r="E95" s="2" t="s">
        <v>253</v>
      </c>
      <c r="F95" s="2" t="s">
        <v>200</v>
      </c>
      <c r="G95" s="2" t="s">
        <v>248</v>
      </c>
      <c r="H95" s="2" t="s">
        <v>191</v>
      </c>
      <c r="I95" s="2" t="s">
        <v>217</v>
      </c>
      <c r="J95" s="2" t="s">
        <v>197</v>
      </c>
      <c r="K95" s="2" t="s">
        <v>227</v>
      </c>
      <c r="L95" s="2" t="s">
        <v>386</v>
      </c>
      <c r="M95" s="2" t="s">
        <v>700</v>
      </c>
    </row>
    <row r="96" spans="1:13">
      <c r="A96" s="96" t="s">
        <v>868</v>
      </c>
      <c r="B96" s="2" t="s">
        <v>652</v>
      </c>
      <c r="C96" s="2" t="s">
        <v>745</v>
      </c>
      <c r="D96" s="2" t="s">
        <v>319</v>
      </c>
      <c r="E96" s="2" t="s">
        <v>151</v>
      </c>
      <c r="F96" s="2" t="s">
        <v>169</v>
      </c>
      <c r="G96" s="2" t="s">
        <v>208</v>
      </c>
      <c r="H96" s="2" t="s">
        <v>135</v>
      </c>
      <c r="I96" s="2" t="s">
        <v>221</v>
      </c>
      <c r="J96" s="2" t="s">
        <v>247</v>
      </c>
      <c r="K96" s="2" t="s">
        <v>192</v>
      </c>
      <c r="L96" s="2" t="s">
        <v>387</v>
      </c>
      <c r="M96" s="2" t="s">
        <v>545</v>
      </c>
    </row>
    <row r="97" spans="1:13">
      <c r="A97" s="96" t="s">
        <v>871</v>
      </c>
      <c r="B97" s="2" t="s">
        <v>736</v>
      </c>
      <c r="C97" s="2" t="s">
        <v>582</v>
      </c>
      <c r="D97" s="2" t="s">
        <v>296</v>
      </c>
      <c r="E97" s="2" t="s">
        <v>242</v>
      </c>
      <c r="F97" s="2" t="s">
        <v>204</v>
      </c>
      <c r="G97" s="2" t="s">
        <v>209</v>
      </c>
      <c r="H97" s="2" t="s">
        <v>247</v>
      </c>
      <c r="I97" s="2" t="s">
        <v>197</v>
      </c>
      <c r="J97" s="2" t="s">
        <v>194</v>
      </c>
      <c r="K97" s="2" t="s">
        <v>260</v>
      </c>
      <c r="L97" s="2" t="s">
        <v>292</v>
      </c>
      <c r="M97" s="2" t="s">
        <v>480</v>
      </c>
    </row>
    <row r="98" spans="1:13">
      <c r="A98" s="96" t="s">
        <v>872</v>
      </c>
      <c r="B98" s="2" t="s">
        <v>498</v>
      </c>
      <c r="C98" s="2" t="s">
        <v>767</v>
      </c>
      <c r="D98" s="2" t="s">
        <v>296</v>
      </c>
      <c r="E98" s="2" t="s">
        <v>194</v>
      </c>
      <c r="F98" s="2" t="s">
        <v>175</v>
      </c>
      <c r="G98" s="2" t="s">
        <v>119</v>
      </c>
      <c r="H98" s="2" t="s">
        <v>215</v>
      </c>
      <c r="I98" s="2" t="s">
        <v>151</v>
      </c>
      <c r="J98" s="2" t="s">
        <v>214</v>
      </c>
      <c r="K98" s="2" t="s">
        <v>262</v>
      </c>
      <c r="L98" s="2" t="s">
        <v>378</v>
      </c>
      <c r="M98" s="2" t="s">
        <v>494</v>
      </c>
    </row>
    <row r="99" spans="1:13">
      <c r="A99" s="96" t="s">
        <v>874</v>
      </c>
      <c r="B99" s="2" t="s">
        <v>559</v>
      </c>
      <c r="C99" s="2" t="s">
        <v>576</v>
      </c>
      <c r="D99" s="2" t="s">
        <v>352</v>
      </c>
      <c r="E99" s="2" t="s">
        <v>167</v>
      </c>
      <c r="F99" s="2" t="s">
        <v>266</v>
      </c>
      <c r="G99" s="2" t="s">
        <v>131</v>
      </c>
      <c r="H99" s="2" t="s">
        <v>227</v>
      </c>
      <c r="I99" s="2" t="s">
        <v>247</v>
      </c>
      <c r="J99" s="2" t="s">
        <v>178</v>
      </c>
      <c r="K99" s="2" t="s">
        <v>223</v>
      </c>
      <c r="L99" s="2" t="s">
        <v>355</v>
      </c>
      <c r="M99" s="2" t="s">
        <v>619</v>
      </c>
    </row>
    <row r="100" spans="1:13">
      <c r="A100" s="96" t="s">
        <v>876</v>
      </c>
      <c r="B100" s="2" t="s">
        <v>745</v>
      </c>
      <c r="C100" s="2" t="s">
        <v>600</v>
      </c>
      <c r="D100" s="2" t="s">
        <v>311</v>
      </c>
      <c r="E100" s="2" t="s">
        <v>228</v>
      </c>
      <c r="F100" s="2" t="s">
        <v>106</v>
      </c>
      <c r="G100" s="2" t="s">
        <v>118</v>
      </c>
      <c r="H100" s="2" t="s">
        <v>260</v>
      </c>
      <c r="I100" s="2" t="s">
        <v>199</v>
      </c>
      <c r="J100" s="2" t="s">
        <v>152</v>
      </c>
      <c r="K100" s="2" t="s">
        <v>150</v>
      </c>
      <c r="L100" s="2" t="s">
        <v>334</v>
      </c>
      <c r="M100" s="2" t="s">
        <v>574</v>
      </c>
    </row>
    <row r="101" spans="1:13">
      <c r="A101" s="96" t="s">
        <v>877</v>
      </c>
      <c r="B101" s="2" t="s">
        <v>706</v>
      </c>
      <c r="C101" s="2" t="s">
        <v>598</v>
      </c>
      <c r="D101" s="2" t="s">
        <v>303</v>
      </c>
      <c r="E101" s="2" t="s">
        <v>224</v>
      </c>
      <c r="F101" s="2" t="s">
        <v>205</v>
      </c>
      <c r="G101" s="2" t="s">
        <v>204</v>
      </c>
      <c r="H101" s="2" t="s">
        <v>225</v>
      </c>
      <c r="I101" s="2" t="s">
        <v>199</v>
      </c>
      <c r="J101" s="2" t="s">
        <v>263</v>
      </c>
      <c r="K101" s="2" t="s">
        <v>150</v>
      </c>
      <c r="L101" s="2" t="s">
        <v>327</v>
      </c>
      <c r="M101" s="2" t="s">
        <v>574</v>
      </c>
    </row>
    <row r="102" spans="1:13">
      <c r="A102" s="96" t="s">
        <v>879</v>
      </c>
      <c r="B102" s="2" t="s">
        <v>697</v>
      </c>
      <c r="C102" s="2" t="s">
        <v>608</v>
      </c>
      <c r="D102" s="2" t="s">
        <v>328</v>
      </c>
      <c r="E102" s="2" t="s">
        <v>178</v>
      </c>
      <c r="F102" s="2" t="s">
        <v>172</v>
      </c>
      <c r="G102" s="2" t="s">
        <v>176</v>
      </c>
      <c r="H102" s="2" t="s">
        <v>199</v>
      </c>
      <c r="I102" s="2" t="s">
        <v>216</v>
      </c>
      <c r="J102" s="2" t="s">
        <v>225</v>
      </c>
      <c r="K102" s="2" t="s">
        <v>207</v>
      </c>
      <c r="L102" s="2" t="s">
        <v>318</v>
      </c>
      <c r="M102" s="2" t="s">
        <v>488</v>
      </c>
    </row>
    <row r="103" spans="1:13">
      <c r="A103" s="96" t="s">
        <v>881</v>
      </c>
      <c r="B103" s="2" t="s">
        <v>705</v>
      </c>
      <c r="C103" s="2" t="s">
        <v>603</v>
      </c>
      <c r="D103" s="2" t="s">
        <v>352</v>
      </c>
      <c r="E103" s="2" t="s">
        <v>195</v>
      </c>
      <c r="F103" s="2" t="s">
        <v>174</v>
      </c>
      <c r="G103" s="2" t="s">
        <v>112</v>
      </c>
      <c r="H103" s="2" t="s">
        <v>167</v>
      </c>
      <c r="I103" s="2" t="s">
        <v>215</v>
      </c>
      <c r="J103" s="2" t="s">
        <v>126</v>
      </c>
      <c r="K103" s="2" t="s">
        <v>212</v>
      </c>
      <c r="L103" s="2" t="s">
        <v>371</v>
      </c>
      <c r="M103" s="2" t="s">
        <v>687</v>
      </c>
    </row>
    <row r="104" spans="1:13">
      <c r="A104" s="96" t="s">
        <v>883</v>
      </c>
      <c r="B104" s="2" t="s">
        <v>542</v>
      </c>
      <c r="C104" s="2" t="s">
        <v>610</v>
      </c>
      <c r="D104" s="2" t="s">
        <v>269</v>
      </c>
      <c r="E104" s="2" t="s">
        <v>223</v>
      </c>
      <c r="F104" s="2" t="s">
        <v>172</v>
      </c>
      <c r="G104" s="2" t="s">
        <v>169</v>
      </c>
      <c r="H104" s="2" t="s">
        <v>199</v>
      </c>
      <c r="I104" s="2" t="s">
        <v>194</v>
      </c>
      <c r="J104" s="2" t="s">
        <v>260</v>
      </c>
      <c r="K104" s="2" t="s">
        <v>218</v>
      </c>
      <c r="L104" s="2" t="s">
        <v>387</v>
      </c>
      <c r="M104" s="2" t="s">
        <v>538</v>
      </c>
    </row>
    <row r="105" spans="1:13">
      <c r="A105" s="96" t="s">
        <v>884</v>
      </c>
      <c r="B105" s="2" t="s">
        <v>524</v>
      </c>
      <c r="C105" s="2" t="s">
        <v>732</v>
      </c>
      <c r="D105" s="2" t="s">
        <v>357</v>
      </c>
      <c r="E105" s="2" t="s">
        <v>212</v>
      </c>
      <c r="F105" s="2" t="s">
        <v>172</v>
      </c>
      <c r="G105" s="2" t="s">
        <v>176</v>
      </c>
      <c r="H105" s="2" t="s">
        <v>178</v>
      </c>
      <c r="I105" s="2" t="s">
        <v>216</v>
      </c>
      <c r="J105" s="2" t="s">
        <v>224</v>
      </c>
      <c r="K105" s="2" t="s">
        <v>166</v>
      </c>
      <c r="L105" s="2" t="s">
        <v>354</v>
      </c>
      <c r="M105" s="2" t="s">
        <v>646</v>
      </c>
    </row>
    <row r="106" spans="1:13">
      <c r="A106" s="96" t="s">
        <v>887</v>
      </c>
      <c r="B106" s="2" t="s">
        <v>744</v>
      </c>
      <c r="C106" s="2" t="s">
        <v>767</v>
      </c>
      <c r="D106" s="2" t="s">
        <v>397</v>
      </c>
      <c r="E106" s="2" t="s">
        <v>248</v>
      </c>
      <c r="F106" s="2" t="s">
        <v>267</v>
      </c>
      <c r="G106" s="2" t="s">
        <v>169</v>
      </c>
      <c r="H106" s="2" t="s">
        <v>199</v>
      </c>
      <c r="I106" s="2" t="s">
        <v>216</v>
      </c>
      <c r="J106" s="2" t="s">
        <v>260</v>
      </c>
      <c r="K106" s="2" t="s">
        <v>245</v>
      </c>
      <c r="L106" s="2" t="s">
        <v>354</v>
      </c>
      <c r="M106" s="2" t="s">
        <v>479</v>
      </c>
    </row>
    <row r="107" spans="1:13">
      <c r="A107" s="96" t="s">
        <v>889</v>
      </c>
      <c r="B107" s="2" t="s">
        <v>535</v>
      </c>
      <c r="C107" s="2" t="s">
        <v>636</v>
      </c>
      <c r="D107" s="2" t="s">
        <v>269</v>
      </c>
      <c r="E107" s="2" t="s">
        <v>206</v>
      </c>
      <c r="F107" s="2" t="s">
        <v>172</v>
      </c>
      <c r="G107" s="2" t="s">
        <v>169</v>
      </c>
      <c r="H107" s="2" t="s">
        <v>126</v>
      </c>
      <c r="I107" s="2" t="s">
        <v>167</v>
      </c>
      <c r="J107" s="2" t="s">
        <v>228</v>
      </c>
      <c r="K107" s="2" t="s">
        <v>166</v>
      </c>
      <c r="L107" s="2" t="s">
        <v>312</v>
      </c>
      <c r="M107" s="2" t="s">
        <v>616</v>
      </c>
    </row>
    <row r="108" spans="1:13">
      <c r="A108" s="96" t="s">
        <v>891</v>
      </c>
      <c r="B108" s="2" t="s">
        <v>611</v>
      </c>
      <c r="C108" s="2" t="s">
        <v>580</v>
      </c>
      <c r="D108" s="2" t="s">
        <v>324</v>
      </c>
      <c r="E108" s="2" t="s">
        <v>150</v>
      </c>
      <c r="F108" s="2" t="s">
        <v>110</v>
      </c>
      <c r="G108" s="2" t="s">
        <v>133</v>
      </c>
      <c r="H108" s="2" t="s">
        <v>263</v>
      </c>
      <c r="I108" s="2" t="s">
        <v>225</v>
      </c>
      <c r="J108" s="2" t="s">
        <v>213</v>
      </c>
      <c r="K108" s="2" t="s">
        <v>200</v>
      </c>
      <c r="L108" s="2" t="s">
        <v>355</v>
      </c>
      <c r="M108" s="2" t="s">
        <v>489</v>
      </c>
    </row>
    <row r="109" spans="1:13">
      <c r="A109" s="96" t="s">
        <v>893</v>
      </c>
      <c r="B109" s="2" t="s">
        <v>671</v>
      </c>
      <c r="C109" s="2" t="s">
        <v>600</v>
      </c>
      <c r="D109" s="2" t="s">
        <v>329</v>
      </c>
      <c r="E109" s="2" t="s">
        <v>208</v>
      </c>
      <c r="F109" s="2" t="s">
        <v>121</v>
      </c>
      <c r="G109" s="2" t="s">
        <v>261</v>
      </c>
      <c r="H109" s="2" t="s">
        <v>223</v>
      </c>
      <c r="I109" s="2" t="s">
        <v>224</v>
      </c>
      <c r="J109" s="2" t="s">
        <v>248</v>
      </c>
      <c r="K109" s="2" t="s">
        <v>148</v>
      </c>
      <c r="L109" s="2" t="s">
        <v>297</v>
      </c>
      <c r="M109" s="2" t="s">
        <v>594</v>
      </c>
    </row>
    <row r="110" spans="1:13">
      <c r="A110" s="96" t="s">
        <v>895</v>
      </c>
      <c r="B110" s="2" t="s">
        <v>604</v>
      </c>
      <c r="C110" s="2" t="s">
        <v>513</v>
      </c>
      <c r="D110" s="2" t="s">
        <v>210</v>
      </c>
      <c r="E110" s="2" t="s">
        <v>119</v>
      </c>
      <c r="F110" s="2" t="s">
        <v>104</v>
      </c>
      <c r="G110" s="2" t="s">
        <v>193</v>
      </c>
      <c r="H110" s="2" t="s">
        <v>207</v>
      </c>
      <c r="I110" s="2" t="s">
        <v>264</v>
      </c>
      <c r="J110" s="2" t="s">
        <v>150</v>
      </c>
      <c r="K110" s="2" t="s">
        <v>202</v>
      </c>
      <c r="L110" s="2" t="s">
        <v>334</v>
      </c>
      <c r="M110" s="2" t="s">
        <v>502</v>
      </c>
    </row>
    <row r="111" spans="1:13">
      <c r="A111" s="96" t="s">
        <v>896</v>
      </c>
      <c r="B111" s="2" t="s">
        <v>586</v>
      </c>
      <c r="C111" s="2" t="s">
        <v>481</v>
      </c>
      <c r="D111" s="2" t="s">
        <v>274</v>
      </c>
      <c r="E111" s="2" t="s">
        <v>145</v>
      </c>
      <c r="F111" s="2" t="s">
        <v>106</v>
      </c>
      <c r="G111" s="2" t="s">
        <v>204</v>
      </c>
      <c r="H111" s="2" t="s">
        <v>130</v>
      </c>
      <c r="I111" s="2" t="s">
        <v>262</v>
      </c>
      <c r="J111" s="2" t="s">
        <v>207</v>
      </c>
      <c r="K111" s="2" t="s">
        <v>168</v>
      </c>
      <c r="L111" s="2" t="s">
        <v>334</v>
      </c>
      <c r="M111" s="2" t="s">
        <v>502</v>
      </c>
    </row>
    <row r="112" spans="1:13">
      <c r="A112" s="96" t="s">
        <v>897</v>
      </c>
      <c r="B112" s="2" t="s">
        <v>583</v>
      </c>
      <c r="C112" s="2" t="s">
        <v>474</v>
      </c>
      <c r="D112" s="2" t="s">
        <v>341</v>
      </c>
      <c r="E112" s="2" t="s">
        <v>144</v>
      </c>
      <c r="F112" s="2" t="s">
        <v>123</v>
      </c>
      <c r="G112" s="2" t="s">
        <v>175</v>
      </c>
      <c r="H112" s="2" t="s">
        <v>213</v>
      </c>
      <c r="I112" s="2" t="s">
        <v>152</v>
      </c>
      <c r="J112" s="2" t="s">
        <v>206</v>
      </c>
      <c r="K112" s="2" t="s">
        <v>244</v>
      </c>
      <c r="L112" s="2" t="s">
        <v>334</v>
      </c>
      <c r="M112" s="2" t="s">
        <v>529</v>
      </c>
    </row>
    <row r="113" spans="1:13">
      <c r="A113" s="96" t="s">
        <v>898</v>
      </c>
      <c r="B113" s="2" t="s">
        <v>628</v>
      </c>
      <c r="C113" s="2" t="s">
        <v>508</v>
      </c>
      <c r="D113" s="2" t="s">
        <v>134</v>
      </c>
      <c r="E113" s="2" t="s">
        <v>131</v>
      </c>
      <c r="F113" s="2" t="s">
        <v>140</v>
      </c>
      <c r="G113" s="2" t="s">
        <v>118</v>
      </c>
      <c r="H113" s="2" t="s">
        <v>213</v>
      </c>
      <c r="I113" s="2" t="s">
        <v>263</v>
      </c>
      <c r="J113" s="2" t="s">
        <v>206</v>
      </c>
      <c r="K113" s="2" t="s">
        <v>244</v>
      </c>
      <c r="L113" s="2" t="s">
        <v>322</v>
      </c>
      <c r="M113" s="2" t="s">
        <v>595</v>
      </c>
    </row>
    <row r="114" spans="1:13">
      <c r="A114" s="96" t="s">
        <v>900</v>
      </c>
      <c r="B114" s="2" t="s">
        <v>551</v>
      </c>
      <c r="C114" s="2" t="s">
        <v>538</v>
      </c>
      <c r="D114" s="2" t="s">
        <v>122</v>
      </c>
      <c r="E114" s="2" t="s">
        <v>133</v>
      </c>
      <c r="F114" s="2" t="s">
        <v>127</v>
      </c>
      <c r="G114" s="2" t="s">
        <v>266</v>
      </c>
      <c r="H114" s="2" t="s">
        <v>166</v>
      </c>
      <c r="I114" s="2" t="s">
        <v>213</v>
      </c>
      <c r="J114" s="2" t="s">
        <v>148</v>
      </c>
      <c r="K114" s="2" t="s">
        <v>145</v>
      </c>
      <c r="L114" s="2" t="s">
        <v>298</v>
      </c>
      <c r="M114" s="2" t="s">
        <v>683</v>
      </c>
    </row>
    <row r="115" spans="1:13">
      <c r="A115" s="96" t="s">
        <v>901</v>
      </c>
      <c r="B115" s="2" t="s">
        <v>567</v>
      </c>
      <c r="C115" s="2" t="s">
        <v>545</v>
      </c>
      <c r="D115" s="2" t="s">
        <v>217</v>
      </c>
      <c r="E115" s="2" t="s">
        <v>203</v>
      </c>
      <c r="F115" s="2" t="s">
        <v>127</v>
      </c>
      <c r="G115" s="2" t="s">
        <v>136</v>
      </c>
      <c r="H115" s="2" t="s">
        <v>245</v>
      </c>
      <c r="I115" s="2" t="s">
        <v>212</v>
      </c>
      <c r="J115" s="2" t="s">
        <v>168</v>
      </c>
      <c r="K115" s="2" t="s">
        <v>173</v>
      </c>
      <c r="L115" s="2" t="s">
        <v>345</v>
      </c>
      <c r="M115" s="2" t="s">
        <v>541</v>
      </c>
    </row>
    <row r="116" spans="1:13">
      <c r="A116" s="96" t="s">
        <v>902</v>
      </c>
      <c r="B116" s="2" t="s">
        <v>707</v>
      </c>
      <c r="C116" s="2" t="s">
        <v>687</v>
      </c>
      <c r="D116" s="2" t="s">
        <v>254</v>
      </c>
      <c r="E116" s="2" t="s">
        <v>173</v>
      </c>
      <c r="F116" s="2" t="s">
        <v>147</v>
      </c>
      <c r="G116" s="2" t="s">
        <v>175</v>
      </c>
      <c r="H116" s="2" t="s">
        <v>248</v>
      </c>
      <c r="I116" s="2" t="s">
        <v>264</v>
      </c>
      <c r="J116" s="2" t="s">
        <v>245</v>
      </c>
      <c r="K116" s="2" t="s">
        <v>202</v>
      </c>
      <c r="L116" s="2" t="s">
        <v>298</v>
      </c>
      <c r="M116" s="2" t="s">
        <v>516</v>
      </c>
    </row>
    <row r="117" spans="1:13">
      <c r="A117" s="96" t="s">
        <v>903</v>
      </c>
      <c r="B117" s="2" t="s">
        <v>470</v>
      </c>
      <c r="C117" s="2" t="s">
        <v>495</v>
      </c>
      <c r="D117" s="2" t="s">
        <v>258</v>
      </c>
      <c r="E117" s="2" t="s">
        <v>144</v>
      </c>
      <c r="F117" s="2" t="s">
        <v>111</v>
      </c>
      <c r="G117" s="2" t="s">
        <v>265</v>
      </c>
      <c r="H117" s="2" t="s">
        <v>206</v>
      </c>
      <c r="I117" s="2" t="s">
        <v>196</v>
      </c>
      <c r="J117" s="2" t="s">
        <v>200</v>
      </c>
      <c r="K117" s="2" t="s">
        <v>119</v>
      </c>
      <c r="L117" s="2" t="s">
        <v>300</v>
      </c>
      <c r="M117" s="2" t="s">
        <v>521</v>
      </c>
    </row>
    <row r="118" spans="1:13">
      <c r="A118" s="96" t="s">
        <v>905</v>
      </c>
      <c r="B118" s="2" t="s">
        <v>591</v>
      </c>
      <c r="C118" s="2" t="s">
        <v>479</v>
      </c>
      <c r="D118" s="2" t="s">
        <v>217</v>
      </c>
      <c r="E118" s="2" t="s">
        <v>133</v>
      </c>
      <c r="F118" s="2" t="s">
        <v>127</v>
      </c>
      <c r="G118" s="2" t="s">
        <v>266</v>
      </c>
      <c r="H118" s="2" t="s">
        <v>166</v>
      </c>
      <c r="I118" s="2" t="s">
        <v>213</v>
      </c>
      <c r="J118" s="2" t="s">
        <v>208</v>
      </c>
      <c r="K118" s="2" t="s">
        <v>145</v>
      </c>
      <c r="L118" s="2" t="s">
        <v>357</v>
      </c>
      <c r="M118" s="2" t="s">
        <v>509</v>
      </c>
    </row>
    <row r="119" spans="1:13">
      <c r="A119" s="96" t="s">
        <v>906</v>
      </c>
      <c r="B119" s="2" t="s">
        <v>567</v>
      </c>
      <c r="C119" s="2" t="s">
        <v>480</v>
      </c>
      <c r="D119" s="2" t="s">
        <v>246</v>
      </c>
      <c r="E119" s="2" t="s">
        <v>169</v>
      </c>
      <c r="F119" s="2" t="s">
        <v>104</v>
      </c>
      <c r="G119" s="2" t="s">
        <v>265</v>
      </c>
      <c r="H119" s="2" t="s">
        <v>218</v>
      </c>
      <c r="I119" s="2" t="s">
        <v>196</v>
      </c>
      <c r="J119" s="2" t="s">
        <v>200</v>
      </c>
      <c r="K119" s="2" t="s">
        <v>119</v>
      </c>
      <c r="L119" s="2" t="s">
        <v>300</v>
      </c>
      <c r="M119" s="2" t="s">
        <v>509</v>
      </c>
    </row>
    <row r="120" spans="1:13">
      <c r="A120" s="96" t="s">
        <v>908</v>
      </c>
      <c r="B120" s="2" t="s">
        <v>481</v>
      </c>
      <c r="C120" s="2" t="s">
        <v>615</v>
      </c>
      <c r="D120" s="2" t="s">
        <v>341</v>
      </c>
      <c r="E120" s="2" t="s">
        <v>169</v>
      </c>
      <c r="F120" s="2" t="s">
        <v>104</v>
      </c>
      <c r="G120" s="2" t="s">
        <v>193</v>
      </c>
      <c r="H120" s="2" t="s">
        <v>166</v>
      </c>
      <c r="I120" s="2" t="s">
        <v>212</v>
      </c>
      <c r="J120" s="2" t="s">
        <v>148</v>
      </c>
      <c r="K120" s="2" t="s">
        <v>173</v>
      </c>
      <c r="L120" s="2" t="s">
        <v>346</v>
      </c>
      <c r="M120" s="2" t="s">
        <v>554</v>
      </c>
    </row>
    <row r="121" spans="1:13">
      <c r="A121" s="96" t="s">
        <v>909</v>
      </c>
      <c r="B121" s="2" t="s">
        <v>682</v>
      </c>
      <c r="C121" s="2" t="s">
        <v>700</v>
      </c>
      <c r="D121" s="2" t="s">
        <v>311</v>
      </c>
      <c r="E121" s="2" t="s">
        <v>131</v>
      </c>
      <c r="F121" s="2" t="s">
        <v>147</v>
      </c>
      <c r="G121" s="2" t="s">
        <v>175</v>
      </c>
      <c r="H121" s="2" t="s">
        <v>207</v>
      </c>
      <c r="I121" s="2" t="s">
        <v>130</v>
      </c>
      <c r="J121" s="2" t="s">
        <v>200</v>
      </c>
      <c r="K121" s="2" t="s">
        <v>119</v>
      </c>
      <c r="L121" s="2" t="s">
        <v>357</v>
      </c>
      <c r="M121" s="2" t="s">
        <v>560</v>
      </c>
    </row>
    <row r="122" spans="1:13">
      <c r="A122" s="96" t="s">
        <v>910</v>
      </c>
      <c r="B122" s="2" t="s">
        <v>614</v>
      </c>
      <c r="C122" s="2" t="s">
        <v>532</v>
      </c>
      <c r="D122" s="2" t="s">
        <v>321</v>
      </c>
      <c r="E122" s="2" t="s">
        <v>173</v>
      </c>
      <c r="F122" s="2" t="s">
        <v>140</v>
      </c>
      <c r="G122" s="2" t="s">
        <v>175</v>
      </c>
      <c r="H122" s="2" t="s">
        <v>207</v>
      </c>
      <c r="I122" s="2" t="s">
        <v>130</v>
      </c>
      <c r="J122" s="2" t="s">
        <v>150</v>
      </c>
      <c r="K122" s="2" t="s">
        <v>202</v>
      </c>
      <c r="L122" s="2" t="s">
        <v>300</v>
      </c>
      <c r="M122" s="2" t="s">
        <v>509</v>
      </c>
    </row>
    <row r="123" spans="1:13">
      <c r="A123" s="96" t="s">
        <v>911</v>
      </c>
      <c r="B123" s="2" t="s">
        <v>689</v>
      </c>
      <c r="C123" s="2" t="s">
        <v>480</v>
      </c>
      <c r="D123" s="2" t="s">
        <v>276</v>
      </c>
      <c r="E123" s="2" t="s">
        <v>133</v>
      </c>
      <c r="F123" s="2" t="s">
        <v>127</v>
      </c>
      <c r="G123" s="2" t="s">
        <v>136</v>
      </c>
      <c r="H123" s="2" t="s">
        <v>245</v>
      </c>
      <c r="I123" s="2" t="s">
        <v>248</v>
      </c>
      <c r="J123" s="2" t="s">
        <v>168</v>
      </c>
      <c r="K123" s="2" t="s">
        <v>173</v>
      </c>
      <c r="L123" s="2" t="s">
        <v>346</v>
      </c>
      <c r="M123" s="2" t="s">
        <v>554</v>
      </c>
    </row>
    <row r="124" spans="1:13">
      <c r="A124" s="96" t="s">
        <v>912</v>
      </c>
      <c r="B124" s="2" t="s">
        <v>682</v>
      </c>
      <c r="C124" s="2" t="s">
        <v>528</v>
      </c>
      <c r="D124" s="2" t="s">
        <v>285</v>
      </c>
      <c r="E124" s="2" t="s">
        <v>133</v>
      </c>
      <c r="F124" s="2" t="s">
        <v>307</v>
      </c>
      <c r="G124" s="2" t="s">
        <v>266</v>
      </c>
      <c r="H124" s="2" t="s">
        <v>245</v>
      </c>
      <c r="I124" s="2" t="s">
        <v>212</v>
      </c>
      <c r="J124" s="2" t="s">
        <v>168</v>
      </c>
      <c r="K124" s="2" t="s">
        <v>173</v>
      </c>
      <c r="L124" s="2" t="s">
        <v>300</v>
      </c>
      <c r="M124" s="2" t="s">
        <v>521</v>
      </c>
    </row>
    <row r="125" spans="1:13">
      <c r="A125" s="96" t="s">
        <v>913</v>
      </c>
      <c r="B125" s="2" t="s">
        <v>682</v>
      </c>
      <c r="C125" s="2" t="s">
        <v>528</v>
      </c>
      <c r="D125" s="2" t="s">
        <v>321</v>
      </c>
      <c r="E125" s="2" t="s">
        <v>144</v>
      </c>
      <c r="F125" s="2" t="s">
        <v>111</v>
      </c>
      <c r="G125" s="2" t="s">
        <v>265</v>
      </c>
      <c r="H125" s="2" t="s">
        <v>206</v>
      </c>
      <c r="I125" s="2" t="s">
        <v>196</v>
      </c>
      <c r="J125" s="2" t="s">
        <v>208</v>
      </c>
      <c r="K125" s="2" t="s">
        <v>141</v>
      </c>
      <c r="L125" s="2" t="s">
        <v>352</v>
      </c>
      <c r="M125" s="2" t="s">
        <v>517</v>
      </c>
    </row>
    <row r="126" spans="1:13">
      <c r="A126" s="96" t="s">
        <v>914</v>
      </c>
      <c r="B126" s="2" t="s">
        <v>473</v>
      </c>
      <c r="C126" s="2" t="s">
        <v>577</v>
      </c>
      <c r="D126" s="2" t="s">
        <v>342</v>
      </c>
      <c r="E126" s="2" t="s">
        <v>222</v>
      </c>
      <c r="F126" s="2" t="s">
        <v>121</v>
      </c>
      <c r="G126" s="2" t="s">
        <v>243</v>
      </c>
      <c r="H126" s="2" t="s">
        <v>130</v>
      </c>
      <c r="I126" s="2" t="s">
        <v>228</v>
      </c>
      <c r="J126" s="2" t="s">
        <v>218</v>
      </c>
      <c r="K126" s="2" t="s">
        <v>171</v>
      </c>
      <c r="L126" s="2" t="s">
        <v>322</v>
      </c>
      <c r="M126" s="2" t="s">
        <v>489</v>
      </c>
    </row>
    <row r="127" spans="1:13">
      <c r="A127" s="96" t="s">
        <v>915</v>
      </c>
      <c r="B127" s="2" t="s">
        <v>506</v>
      </c>
      <c r="C127" s="2" t="s">
        <v>577</v>
      </c>
      <c r="D127" s="2" t="s">
        <v>287</v>
      </c>
      <c r="E127" s="2" t="s">
        <v>222</v>
      </c>
      <c r="F127" s="2" t="s">
        <v>142</v>
      </c>
      <c r="G127" s="2" t="s">
        <v>203</v>
      </c>
      <c r="H127" s="2" t="s">
        <v>223</v>
      </c>
      <c r="I127" s="2" t="s">
        <v>224</v>
      </c>
      <c r="J127" s="2" t="s">
        <v>248</v>
      </c>
      <c r="K127" s="2" t="s">
        <v>168</v>
      </c>
      <c r="L127" s="2" t="s">
        <v>318</v>
      </c>
      <c r="M127" s="2" t="s">
        <v>568</v>
      </c>
    </row>
    <row r="128" spans="1:13">
      <c r="A128" s="96" t="s">
        <v>916</v>
      </c>
      <c r="B128" s="2" t="s">
        <v>586</v>
      </c>
      <c r="C128" s="2" t="s">
        <v>655</v>
      </c>
      <c r="D128" s="2" t="s">
        <v>324</v>
      </c>
      <c r="E128" s="2" t="s">
        <v>141</v>
      </c>
      <c r="F128" s="2" t="s">
        <v>120</v>
      </c>
      <c r="G128" s="2" t="s">
        <v>261</v>
      </c>
      <c r="H128" s="2" t="s">
        <v>196</v>
      </c>
      <c r="I128" s="2" t="s">
        <v>263</v>
      </c>
      <c r="J128" s="2" t="s">
        <v>206</v>
      </c>
      <c r="K128" s="2" t="s">
        <v>244</v>
      </c>
      <c r="L128" s="2" t="s">
        <v>334</v>
      </c>
      <c r="M128" s="2" t="s">
        <v>594</v>
      </c>
    </row>
    <row r="129" spans="1:13">
      <c r="A129" s="96" t="s">
        <v>917</v>
      </c>
      <c r="B129" s="2" t="s">
        <v>513</v>
      </c>
      <c r="C129" s="2" t="s">
        <v>520</v>
      </c>
      <c r="D129" s="2" t="s">
        <v>288</v>
      </c>
      <c r="E129" s="2" t="s">
        <v>145</v>
      </c>
      <c r="F129" s="2" t="s">
        <v>106</v>
      </c>
      <c r="G129" s="2" t="s">
        <v>204</v>
      </c>
      <c r="H129" s="2" t="s">
        <v>213</v>
      </c>
      <c r="I129" s="2" t="s">
        <v>223</v>
      </c>
      <c r="J129" s="2" t="s">
        <v>245</v>
      </c>
      <c r="K129" s="2" t="s">
        <v>222</v>
      </c>
      <c r="L129" s="2" t="s">
        <v>298</v>
      </c>
      <c r="M129" s="2" t="s">
        <v>595</v>
      </c>
    </row>
    <row r="130" spans="1:13">
      <c r="A130" s="96" t="s">
        <v>918</v>
      </c>
      <c r="B130" s="2" t="s">
        <v>614</v>
      </c>
      <c r="C130" s="2" t="s">
        <v>532</v>
      </c>
      <c r="D130" s="2" t="s">
        <v>274</v>
      </c>
      <c r="E130" s="2" t="s">
        <v>169</v>
      </c>
      <c r="F130" s="2" t="s">
        <v>104</v>
      </c>
      <c r="G130" s="2" t="s">
        <v>193</v>
      </c>
      <c r="H130" s="2" t="s">
        <v>206</v>
      </c>
      <c r="I130" s="2" t="s">
        <v>212</v>
      </c>
      <c r="J130" s="2" t="s">
        <v>168</v>
      </c>
      <c r="K130" s="2" t="s">
        <v>173</v>
      </c>
      <c r="L130" s="2" t="s">
        <v>356</v>
      </c>
      <c r="M130" s="2" t="s">
        <v>521</v>
      </c>
    </row>
    <row r="131" spans="1:13">
      <c r="A131" s="96" t="s">
        <v>919</v>
      </c>
      <c r="B131" s="2" t="s">
        <v>712</v>
      </c>
      <c r="C131" s="2" t="s">
        <v>642</v>
      </c>
      <c r="D131" s="2" t="s">
        <v>338</v>
      </c>
      <c r="E131" s="2" t="s">
        <v>119</v>
      </c>
      <c r="F131" s="2" t="s">
        <v>120</v>
      </c>
      <c r="G131" s="2" t="s">
        <v>204</v>
      </c>
      <c r="H131" s="2" t="s">
        <v>213</v>
      </c>
      <c r="I131" s="2" t="s">
        <v>223</v>
      </c>
      <c r="J131" s="2" t="s">
        <v>245</v>
      </c>
      <c r="K131" s="2" t="s">
        <v>222</v>
      </c>
      <c r="L131" s="2" t="s">
        <v>357</v>
      </c>
      <c r="M131" s="2" t="s">
        <v>510</v>
      </c>
    </row>
    <row r="132" spans="1:13">
      <c r="A132" s="96" t="s">
        <v>920</v>
      </c>
      <c r="B132" s="2" t="s">
        <v>513</v>
      </c>
      <c r="C132" s="2" t="s">
        <v>514</v>
      </c>
      <c r="D132" s="2" t="s">
        <v>303</v>
      </c>
      <c r="E132" s="2" t="s">
        <v>145</v>
      </c>
      <c r="F132" s="2" t="s">
        <v>140</v>
      </c>
      <c r="G132" s="2" t="s">
        <v>118</v>
      </c>
      <c r="H132" s="2" t="s">
        <v>248</v>
      </c>
      <c r="I132" s="2" t="s">
        <v>264</v>
      </c>
      <c r="J132" s="2" t="s">
        <v>245</v>
      </c>
      <c r="K132" s="2" t="s">
        <v>222</v>
      </c>
      <c r="L132" s="2" t="s">
        <v>300</v>
      </c>
      <c r="M132" s="2" t="s">
        <v>502</v>
      </c>
    </row>
    <row r="133" spans="1:13">
      <c r="A133" s="96" t="s">
        <v>921</v>
      </c>
      <c r="B133" s="2" t="s">
        <v>544</v>
      </c>
      <c r="C133" s="2" t="s">
        <v>538</v>
      </c>
      <c r="D133" s="2" t="s">
        <v>293</v>
      </c>
      <c r="E133" s="2" t="s">
        <v>133</v>
      </c>
      <c r="F133" s="2" t="s">
        <v>127</v>
      </c>
      <c r="G133" s="2" t="s">
        <v>193</v>
      </c>
      <c r="H133" s="2" t="s">
        <v>206</v>
      </c>
      <c r="I133" s="2" t="s">
        <v>212</v>
      </c>
      <c r="J133" s="2" t="s">
        <v>168</v>
      </c>
      <c r="K133" s="2" t="s">
        <v>145</v>
      </c>
      <c r="L133" s="2" t="s">
        <v>397</v>
      </c>
      <c r="M133" s="2" t="s">
        <v>516</v>
      </c>
    </row>
    <row r="134" spans="1:13">
      <c r="A134" s="96" t="s">
        <v>922</v>
      </c>
      <c r="B134" s="2" t="s">
        <v>658</v>
      </c>
      <c r="C134" s="2" t="s">
        <v>545</v>
      </c>
      <c r="D134" s="2" t="s">
        <v>273</v>
      </c>
      <c r="E134" s="2" t="s">
        <v>203</v>
      </c>
      <c r="F134" s="2" t="s">
        <v>282</v>
      </c>
      <c r="G134" s="2" t="s">
        <v>174</v>
      </c>
      <c r="H134" s="2" t="s">
        <v>150</v>
      </c>
      <c r="I134" s="2" t="s">
        <v>207</v>
      </c>
      <c r="J134" s="2" t="s">
        <v>244</v>
      </c>
      <c r="K134" s="2" t="s">
        <v>131</v>
      </c>
      <c r="L134" s="2" t="s">
        <v>269</v>
      </c>
      <c r="M134" s="2" t="s">
        <v>560</v>
      </c>
    </row>
    <row r="135" spans="1:13">
      <c r="A135" s="96" t="s">
        <v>923</v>
      </c>
      <c r="B135" s="2" t="s">
        <v>707</v>
      </c>
      <c r="C135" s="2" t="s">
        <v>646</v>
      </c>
      <c r="D135" s="2" t="s">
        <v>341</v>
      </c>
      <c r="E135" s="2" t="s">
        <v>204</v>
      </c>
      <c r="F135" s="2" t="s">
        <v>108</v>
      </c>
      <c r="G135" s="2" t="s">
        <v>172</v>
      </c>
      <c r="H135" s="2" t="s">
        <v>208</v>
      </c>
      <c r="I135" s="2" t="s">
        <v>206</v>
      </c>
      <c r="J135" s="2" t="s">
        <v>222</v>
      </c>
      <c r="K135" s="2" t="s">
        <v>112</v>
      </c>
      <c r="L135" s="2" t="s">
        <v>315</v>
      </c>
      <c r="M135" s="2" t="s">
        <v>683</v>
      </c>
    </row>
    <row r="136" spans="1:13">
      <c r="A136" s="96" t="s">
        <v>924</v>
      </c>
      <c r="B136" s="2" t="s">
        <v>707</v>
      </c>
      <c r="C136" s="2" t="s">
        <v>646</v>
      </c>
      <c r="D136" s="2" t="s">
        <v>341</v>
      </c>
      <c r="E136" s="2" t="s">
        <v>261</v>
      </c>
      <c r="F136" s="2" t="s">
        <v>157</v>
      </c>
      <c r="G136" s="2" t="s">
        <v>267</v>
      </c>
      <c r="H136" s="2" t="s">
        <v>200</v>
      </c>
      <c r="I136" s="2" t="s">
        <v>218</v>
      </c>
      <c r="J136" s="2" t="s">
        <v>244</v>
      </c>
      <c r="K136" s="2" t="s">
        <v>144</v>
      </c>
      <c r="L136" s="2" t="s">
        <v>314</v>
      </c>
      <c r="M136" s="2" t="s">
        <v>516</v>
      </c>
    </row>
    <row r="137" spans="1:13">
      <c r="A137" s="96" t="s">
        <v>925</v>
      </c>
      <c r="B137" s="2" t="s">
        <v>593</v>
      </c>
      <c r="C137" s="2" t="s">
        <v>503</v>
      </c>
      <c r="D137" s="2" t="s">
        <v>246</v>
      </c>
      <c r="E137" s="2" t="s">
        <v>133</v>
      </c>
      <c r="F137" s="2" t="s">
        <v>127</v>
      </c>
      <c r="G137" s="2" t="s">
        <v>266</v>
      </c>
      <c r="H137" s="2" t="s">
        <v>166</v>
      </c>
      <c r="I137" s="2" t="s">
        <v>212</v>
      </c>
      <c r="J137" s="2" t="s">
        <v>168</v>
      </c>
      <c r="K137" s="2" t="s">
        <v>173</v>
      </c>
      <c r="L137" s="2" t="s">
        <v>301</v>
      </c>
      <c r="M137" s="2" t="s">
        <v>521</v>
      </c>
    </row>
    <row r="138" spans="1:13">
      <c r="A138" s="96" t="s">
        <v>926</v>
      </c>
      <c r="B138" s="2" t="s">
        <v>486</v>
      </c>
      <c r="C138" s="2" t="s">
        <v>489</v>
      </c>
      <c r="D138" s="2" t="s">
        <v>217</v>
      </c>
      <c r="E138" s="2" t="s">
        <v>169</v>
      </c>
      <c r="F138" s="2" t="s">
        <v>104</v>
      </c>
      <c r="G138" s="2" t="s">
        <v>265</v>
      </c>
      <c r="H138" s="2" t="s">
        <v>206</v>
      </c>
      <c r="I138" s="2" t="s">
        <v>213</v>
      </c>
      <c r="J138" s="2" t="s">
        <v>148</v>
      </c>
      <c r="K138" s="2" t="s">
        <v>145</v>
      </c>
      <c r="L138" s="2" t="s">
        <v>299</v>
      </c>
      <c r="M138" s="2" t="s">
        <v>541</v>
      </c>
    </row>
    <row r="139" spans="1:13">
      <c r="A139" s="76" t="s">
        <v>1</v>
      </c>
      <c r="B139" s="2" t="s">
        <v>280</v>
      </c>
      <c r="C139" s="2" t="s">
        <v>281</v>
      </c>
      <c r="D139" s="2" t="s">
        <v>109</v>
      </c>
      <c r="E139" s="2" t="s">
        <v>807</v>
      </c>
      <c r="F139" s="2" t="s">
        <v>808</v>
      </c>
      <c r="G139" s="2" t="s">
        <v>809</v>
      </c>
      <c r="H139" s="2" t="s">
        <v>810</v>
      </c>
      <c r="I139" s="2" t="s">
        <v>811</v>
      </c>
      <c r="J139" s="2" t="s">
        <v>812</v>
      </c>
      <c r="K139" s="2" t="s">
        <v>806</v>
      </c>
      <c r="L139" s="2" t="s">
        <v>282</v>
      </c>
      <c r="M139" s="2" t="s">
        <v>112</v>
      </c>
    </row>
    <row r="140" spans="1:13">
      <c r="A140" s="96" t="s">
        <v>824</v>
      </c>
      <c r="B140" s="2" t="s">
        <v>159</v>
      </c>
      <c r="C140" s="2" t="s">
        <v>289</v>
      </c>
      <c r="D140" s="2" t="s">
        <v>163</v>
      </c>
      <c r="E140" s="2" t="s">
        <v>927</v>
      </c>
      <c r="F140" s="2" t="s">
        <v>928</v>
      </c>
      <c r="G140" s="2" t="s">
        <v>812</v>
      </c>
      <c r="H140" s="2" t="s">
        <v>929</v>
      </c>
      <c r="I140" s="2" t="s">
        <v>930</v>
      </c>
      <c r="J140" s="2" t="s">
        <v>811</v>
      </c>
      <c r="K140" s="2" t="s">
        <v>823</v>
      </c>
      <c r="L140" s="2" t="s">
        <v>283</v>
      </c>
      <c r="M140" s="2" t="s">
        <v>169</v>
      </c>
    </row>
    <row r="141" spans="1:13">
      <c r="A141" s="96" t="s">
        <v>826</v>
      </c>
      <c r="B141" s="2" t="s">
        <v>281</v>
      </c>
      <c r="C141" s="2" t="s">
        <v>115</v>
      </c>
      <c r="D141" s="2" t="s">
        <v>129</v>
      </c>
      <c r="E141" s="2" t="s">
        <v>932</v>
      </c>
      <c r="F141" s="2" t="s">
        <v>933</v>
      </c>
      <c r="G141" s="2" t="s">
        <v>934</v>
      </c>
      <c r="H141" s="2" t="s">
        <v>928</v>
      </c>
      <c r="I141" s="2" t="s">
        <v>935</v>
      </c>
      <c r="J141" s="2" t="s">
        <v>812</v>
      </c>
      <c r="K141" s="2" t="s">
        <v>124</v>
      </c>
      <c r="L141" s="2" t="s">
        <v>104</v>
      </c>
      <c r="M141" s="2" t="s">
        <v>131</v>
      </c>
    </row>
    <row r="142" spans="1:13">
      <c r="A142" s="96" t="s">
        <v>828</v>
      </c>
      <c r="B142" s="2" t="s">
        <v>108</v>
      </c>
      <c r="C142" s="2" t="s">
        <v>114</v>
      </c>
      <c r="D142" s="2" t="s">
        <v>277</v>
      </c>
      <c r="E142" s="2" t="s">
        <v>116</v>
      </c>
      <c r="F142" s="2" t="s">
        <v>933</v>
      </c>
      <c r="G142" s="2" t="s">
        <v>933</v>
      </c>
      <c r="H142" s="2" t="s">
        <v>812</v>
      </c>
      <c r="I142" s="2" t="s">
        <v>935</v>
      </c>
      <c r="J142" s="2" t="s">
        <v>937</v>
      </c>
      <c r="K142" s="2" t="s">
        <v>154</v>
      </c>
      <c r="L142" s="2" t="s">
        <v>111</v>
      </c>
      <c r="M142" s="2" t="s">
        <v>173</v>
      </c>
    </row>
    <row r="143" spans="1:13">
      <c r="A143" s="96" t="s">
        <v>830</v>
      </c>
      <c r="B143" s="2" t="s">
        <v>108</v>
      </c>
      <c r="C143" s="2" t="s">
        <v>114</v>
      </c>
      <c r="D143" s="2" t="s">
        <v>277</v>
      </c>
      <c r="E143" s="2" t="s">
        <v>116</v>
      </c>
      <c r="F143" s="2" t="s">
        <v>938</v>
      </c>
      <c r="G143" s="2" t="s">
        <v>933</v>
      </c>
      <c r="H143" s="2" t="s">
        <v>812</v>
      </c>
      <c r="I143" s="2" t="s">
        <v>935</v>
      </c>
      <c r="J143" s="2" t="s">
        <v>935</v>
      </c>
      <c r="K143" s="2" t="s">
        <v>158</v>
      </c>
      <c r="L143" s="2" t="s">
        <v>111</v>
      </c>
      <c r="M143" s="2" t="s">
        <v>112</v>
      </c>
    </row>
    <row r="144" spans="1:13">
      <c r="A144" s="96" t="s">
        <v>834</v>
      </c>
      <c r="B144" s="2" t="s">
        <v>115</v>
      </c>
      <c r="C144" s="2" t="s">
        <v>103</v>
      </c>
      <c r="D144" s="2" t="s">
        <v>109</v>
      </c>
      <c r="E144" s="2" t="s">
        <v>165</v>
      </c>
      <c r="F144" s="2" t="s">
        <v>939</v>
      </c>
      <c r="G144" s="2" t="s">
        <v>939</v>
      </c>
      <c r="H144" s="2" t="s">
        <v>811</v>
      </c>
      <c r="I144" s="2" t="s">
        <v>809</v>
      </c>
      <c r="J144" s="2" t="s">
        <v>809</v>
      </c>
      <c r="K144" s="2" t="s">
        <v>806</v>
      </c>
      <c r="L144" s="2" t="s">
        <v>307</v>
      </c>
      <c r="M144" s="2" t="s">
        <v>176</v>
      </c>
    </row>
    <row r="145" spans="1:13">
      <c r="A145" s="96" t="s">
        <v>836</v>
      </c>
      <c r="B145" s="2" t="s">
        <v>280</v>
      </c>
      <c r="C145" s="2" t="s">
        <v>280</v>
      </c>
      <c r="D145" s="2" t="s">
        <v>277</v>
      </c>
      <c r="E145" s="2" t="s">
        <v>806</v>
      </c>
      <c r="F145" s="2" t="s">
        <v>934</v>
      </c>
      <c r="G145" s="2" t="s">
        <v>934</v>
      </c>
      <c r="H145" s="2" t="s">
        <v>809</v>
      </c>
      <c r="I145" s="2" t="s">
        <v>812</v>
      </c>
      <c r="J145" s="2" t="s">
        <v>935</v>
      </c>
      <c r="K145" s="2" t="s">
        <v>124</v>
      </c>
      <c r="L145" s="2" t="s">
        <v>111</v>
      </c>
      <c r="M145" s="2" t="s">
        <v>112</v>
      </c>
    </row>
    <row r="146" spans="1:13">
      <c r="A146" s="96" t="s">
        <v>839</v>
      </c>
      <c r="B146" s="2" t="s">
        <v>108</v>
      </c>
      <c r="C146" s="2" t="s">
        <v>108</v>
      </c>
      <c r="D146" s="2" t="s">
        <v>310</v>
      </c>
      <c r="E146" s="2" t="s">
        <v>116</v>
      </c>
      <c r="F146" s="2" t="s">
        <v>927</v>
      </c>
      <c r="G146" s="2" t="s">
        <v>938</v>
      </c>
      <c r="H146" s="2" t="s">
        <v>812</v>
      </c>
      <c r="I146" s="2" t="s">
        <v>937</v>
      </c>
      <c r="J146" s="2" t="s">
        <v>937</v>
      </c>
      <c r="K146" s="2" t="s">
        <v>158</v>
      </c>
      <c r="L146" s="2" t="s">
        <v>307</v>
      </c>
      <c r="M146" s="2" t="s">
        <v>173</v>
      </c>
    </row>
    <row r="147" spans="1:13">
      <c r="A147" s="96" t="s">
        <v>841</v>
      </c>
      <c r="B147" s="2" t="s">
        <v>270</v>
      </c>
      <c r="C147" s="2" t="s">
        <v>281</v>
      </c>
      <c r="D147" s="2" t="s">
        <v>105</v>
      </c>
      <c r="E147" s="2" t="s">
        <v>807</v>
      </c>
      <c r="F147" s="2" t="s">
        <v>816</v>
      </c>
      <c r="G147" s="2" t="s">
        <v>939</v>
      </c>
      <c r="H147" s="2" t="s">
        <v>811</v>
      </c>
      <c r="I147" s="2" t="s">
        <v>809</v>
      </c>
      <c r="J147" s="2" t="s">
        <v>928</v>
      </c>
      <c r="K147" s="2" t="s">
        <v>806</v>
      </c>
      <c r="L147" s="2" t="s">
        <v>127</v>
      </c>
      <c r="M147" s="2" t="s">
        <v>131</v>
      </c>
    </row>
    <row r="148" spans="1:13">
      <c r="A148" s="96" t="s">
        <v>842</v>
      </c>
      <c r="B148" s="2" t="s">
        <v>115</v>
      </c>
      <c r="C148" s="2" t="s">
        <v>115</v>
      </c>
      <c r="D148" s="2" t="s">
        <v>129</v>
      </c>
      <c r="E148" s="2" t="s">
        <v>165</v>
      </c>
      <c r="F148" s="2" t="s">
        <v>939</v>
      </c>
      <c r="G148" s="2" t="s">
        <v>939</v>
      </c>
      <c r="H148" s="2" t="s">
        <v>811</v>
      </c>
      <c r="I148" s="2" t="s">
        <v>809</v>
      </c>
      <c r="J148" s="2" t="s">
        <v>928</v>
      </c>
      <c r="K148" s="2" t="s">
        <v>806</v>
      </c>
      <c r="L148" s="2" t="s">
        <v>127</v>
      </c>
      <c r="M148" s="2" t="s">
        <v>173</v>
      </c>
    </row>
    <row r="149" spans="1:13">
      <c r="A149" s="96" t="s">
        <v>844</v>
      </c>
      <c r="B149" s="2" t="s">
        <v>270</v>
      </c>
      <c r="C149" s="2" t="s">
        <v>270</v>
      </c>
      <c r="D149" s="2" t="s">
        <v>146</v>
      </c>
      <c r="E149" s="2" t="s">
        <v>807</v>
      </c>
      <c r="F149" s="2" t="s">
        <v>816</v>
      </c>
      <c r="G149" s="2" t="s">
        <v>808</v>
      </c>
      <c r="H149" s="2" t="s">
        <v>929</v>
      </c>
      <c r="I149" s="2" t="s">
        <v>930</v>
      </c>
      <c r="J149" s="2" t="s">
        <v>809</v>
      </c>
      <c r="K149" s="2" t="s">
        <v>823</v>
      </c>
      <c r="L149" s="2" t="s">
        <v>307</v>
      </c>
      <c r="M149" s="2" t="s">
        <v>145</v>
      </c>
    </row>
    <row r="150" spans="1:13">
      <c r="A150" s="96" t="s">
        <v>847</v>
      </c>
      <c r="B150" s="2" t="s">
        <v>108</v>
      </c>
      <c r="C150" s="2" t="s">
        <v>108</v>
      </c>
      <c r="D150" s="2" t="s">
        <v>156</v>
      </c>
      <c r="E150" s="2" t="s">
        <v>116</v>
      </c>
      <c r="F150" s="2" t="s">
        <v>927</v>
      </c>
      <c r="G150" s="2" t="s">
        <v>934</v>
      </c>
      <c r="H150" s="2" t="s">
        <v>930</v>
      </c>
      <c r="I150" s="2" t="s">
        <v>812</v>
      </c>
      <c r="J150" s="2" t="s">
        <v>935</v>
      </c>
      <c r="K150" s="2" t="s">
        <v>116</v>
      </c>
      <c r="L150" s="2" t="s">
        <v>123</v>
      </c>
      <c r="M150" s="2" t="s">
        <v>119</v>
      </c>
    </row>
    <row r="151" spans="1:13">
      <c r="A151" s="96" t="s">
        <v>851</v>
      </c>
      <c r="B151" s="2" t="s">
        <v>114</v>
      </c>
      <c r="C151" s="2" t="s">
        <v>125</v>
      </c>
      <c r="D151" s="2" t="s">
        <v>105</v>
      </c>
      <c r="E151" s="2" t="s">
        <v>932</v>
      </c>
      <c r="F151" s="2" t="s">
        <v>938</v>
      </c>
      <c r="G151" s="2" t="s">
        <v>939</v>
      </c>
      <c r="H151" s="2" t="s">
        <v>811</v>
      </c>
      <c r="I151" s="2" t="s">
        <v>930</v>
      </c>
      <c r="J151" s="2" t="s">
        <v>812</v>
      </c>
      <c r="K151" s="2" t="s">
        <v>116</v>
      </c>
      <c r="L151" s="2" t="s">
        <v>123</v>
      </c>
      <c r="M151" s="2" t="s">
        <v>202</v>
      </c>
    </row>
    <row r="152" spans="1:13">
      <c r="A152" s="96" t="s">
        <v>852</v>
      </c>
      <c r="B152" s="2" t="s">
        <v>123</v>
      </c>
      <c r="C152" s="2" t="s">
        <v>307</v>
      </c>
      <c r="D152" s="2" t="s">
        <v>310</v>
      </c>
      <c r="E152" s="2" t="s">
        <v>154</v>
      </c>
      <c r="F152" s="2" t="s">
        <v>944</v>
      </c>
      <c r="G152" s="2" t="s">
        <v>938</v>
      </c>
      <c r="H152" s="2" t="s">
        <v>928</v>
      </c>
      <c r="I152" s="2" t="s">
        <v>812</v>
      </c>
      <c r="J152" s="2" t="s">
        <v>808</v>
      </c>
      <c r="K152" s="2" t="s">
        <v>158</v>
      </c>
      <c r="L152" s="2" t="s">
        <v>123</v>
      </c>
      <c r="M152" s="2" t="s">
        <v>119</v>
      </c>
    </row>
    <row r="153" spans="1:13">
      <c r="A153" s="96" t="s">
        <v>854</v>
      </c>
      <c r="B153" s="2" t="s">
        <v>111</v>
      </c>
      <c r="C153" s="2" t="s">
        <v>104</v>
      </c>
      <c r="D153" s="2" t="s">
        <v>278</v>
      </c>
      <c r="E153" s="2" t="s">
        <v>89</v>
      </c>
      <c r="F153" s="2" t="s">
        <v>944</v>
      </c>
      <c r="G153" s="2" t="s">
        <v>938</v>
      </c>
      <c r="H153" s="2" t="s">
        <v>809</v>
      </c>
      <c r="I153" s="2" t="s">
        <v>812</v>
      </c>
      <c r="J153" s="2" t="s">
        <v>937</v>
      </c>
      <c r="K153" s="2" t="s">
        <v>154</v>
      </c>
      <c r="L153" s="2" t="s">
        <v>123</v>
      </c>
      <c r="M153" s="2" t="s">
        <v>119</v>
      </c>
    </row>
    <row r="154" spans="1:13">
      <c r="A154" s="96" t="s">
        <v>856</v>
      </c>
      <c r="B154" s="2" t="s">
        <v>142</v>
      </c>
      <c r="C154" s="2" t="s">
        <v>142</v>
      </c>
      <c r="D154" s="2" t="s">
        <v>115</v>
      </c>
      <c r="E154" s="2" t="s">
        <v>163</v>
      </c>
      <c r="F154" s="2" t="s">
        <v>806</v>
      </c>
      <c r="G154" s="2" t="s">
        <v>946</v>
      </c>
      <c r="H154" s="2" t="s">
        <v>808</v>
      </c>
      <c r="I154" s="2" t="s">
        <v>939</v>
      </c>
      <c r="J154" s="2" t="s">
        <v>933</v>
      </c>
      <c r="K154" s="2" t="s">
        <v>128</v>
      </c>
      <c r="L154" s="2" t="s">
        <v>120</v>
      </c>
      <c r="M154" s="2" t="s">
        <v>244</v>
      </c>
    </row>
    <row r="155" spans="1:13">
      <c r="A155" s="96" t="s">
        <v>858</v>
      </c>
      <c r="B155" s="2" t="s">
        <v>149</v>
      </c>
      <c r="C155" s="2" t="s">
        <v>193</v>
      </c>
      <c r="D155" s="2" t="s">
        <v>271</v>
      </c>
      <c r="E155" s="2" t="s">
        <v>162</v>
      </c>
      <c r="F155" s="2" t="s">
        <v>124</v>
      </c>
      <c r="G155" s="2" t="s">
        <v>165</v>
      </c>
      <c r="H155" s="2" t="s">
        <v>816</v>
      </c>
      <c r="I155" s="2" t="s">
        <v>938</v>
      </c>
      <c r="J155" s="2" t="s">
        <v>933</v>
      </c>
      <c r="K155" s="2" t="s">
        <v>155</v>
      </c>
      <c r="L155" s="2" t="s">
        <v>120</v>
      </c>
      <c r="M155" s="2" t="s">
        <v>209</v>
      </c>
    </row>
    <row r="156" spans="1:13">
      <c r="A156" s="96" t="s">
        <v>861</v>
      </c>
      <c r="B156" s="2" t="s">
        <v>175</v>
      </c>
      <c r="C156" s="2" t="s">
        <v>266</v>
      </c>
      <c r="D156" s="2" t="s">
        <v>125</v>
      </c>
      <c r="E156" s="2" t="s">
        <v>137</v>
      </c>
      <c r="F156" s="2" t="s">
        <v>128</v>
      </c>
      <c r="G156" s="2" t="s">
        <v>806</v>
      </c>
      <c r="H156" s="2" t="s">
        <v>938</v>
      </c>
      <c r="I156" s="2" t="s">
        <v>944</v>
      </c>
      <c r="J156" s="2" t="s">
        <v>807</v>
      </c>
      <c r="K156" s="2" t="s">
        <v>138</v>
      </c>
      <c r="L156" s="2" t="s">
        <v>142</v>
      </c>
      <c r="M156" s="2" t="s">
        <v>171</v>
      </c>
    </row>
    <row r="157" spans="1:13">
      <c r="A157" s="96" t="s">
        <v>865</v>
      </c>
      <c r="B157" s="2" t="s">
        <v>265</v>
      </c>
      <c r="C157" s="2" t="s">
        <v>267</v>
      </c>
      <c r="D157" s="2" t="s">
        <v>271</v>
      </c>
      <c r="E157" s="2" t="s">
        <v>113</v>
      </c>
      <c r="F157" s="2" t="s">
        <v>154</v>
      </c>
      <c r="G157" s="2" t="s">
        <v>165</v>
      </c>
      <c r="H157" s="2" t="s">
        <v>816</v>
      </c>
      <c r="I157" s="2" t="s">
        <v>938</v>
      </c>
      <c r="J157" s="2" t="s">
        <v>944</v>
      </c>
      <c r="K157" s="2" t="s">
        <v>155</v>
      </c>
      <c r="L157" s="2" t="s">
        <v>106</v>
      </c>
      <c r="M157" s="2" t="s">
        <v>202</v>
      </c>
    </row>
    <row r="158" spans="1:13">
      <c r="A158" s="96" t="s">
        <v>866</v>
      </c>
      <c r="B158" s="2" t="s">
        <v>133</v>
      </c>
      <c r="C158" s="2" t="s">
        <v>226</v>
      </c>
      <c r="D158" s="2" t="s">
        <v>127</v>
      </c>
      <c r="E158" s="2" t="s">
        <v>129</v>
      </c>
      <c r="F158" s="2" t="s">
        <v>155</v>
      </c>
      <c r="G158" s="2" t="s">
        <v>124</v>
      </c>
      <c r="H158" s="2" t="s">
        <v>927</v>
      </c>
      <c r="I158" s="2" t="s">
        <v>944</v>
      </c>
      <c r="J158" s="2" t="s">
        <v>165</v>
      </c>
      <c r="K158" s="2" t="s">
        <v>163</v>
      </c>
      <c r="L158" s="2" t="s">
        <v>205</v>
      </c>
      <c r="M158" s="2" t="s">
        <v>209</v>
      </c>
    </row>
    <row r="159" spans="1:13">
      <c r="A159" s="96" t="s">
        <v>868</v>
      </c>
      <c r="B159" s="2" t="s">
        <v>172</v>
      </c>
      <c r="C159" s="2" t="s">
        <v>142</v>
      </c>
      <c r="D159" s="2" t="s">
        <v>281</v>
      </c>
      <c r="E159" s="2" t="s">
        <v>128</v>
      </c>
      <c r="F159" s="2" t="s">
        <v>806</v>
      </c>
      <c r="G159" s="2" t="s">
        <v>934</v>
      </c>
      <c r="H159" s="2" t="s">
        <v>816</v>
      </c>
      <c r="I159" s="2" t="s">
        <v>933</v>
      </c>
      <c r="J159" s="2" t="s">
        <v>933</v>
      </c>
      <c r="K159" s="2" t="s">
        <v>89</v>
      </c>
      <c r="L159" s="2" t="s">
        <v>147</v>
      </c>
      <c r="M159" s="2" t="s">
        <v>119</v>
      </c>
    </row>
    <row r="160" spans="1:13">
      <c r="A160" s="96" t="s">
        <v>871</v>
      </c>
      <c r="B160" s="2" t="s">
        <v>106</v>
      </c>
      <c r="C160" s="2" t="s">
        <v>111</v>
      </c>
      <c r="D160" s="2" t="s">
        <v>286</v>
      </c>
      <c r="E160" s="2" t="s">
        <v>89</v>
      </c>
      <c r="F160" s="2" t="s">
        <v>807</v>
      </c>
      <c r="G160" s="2" t="s">
        <v>808</v>
      </c>
      <c r="H160" s="2" t="s">
        <v>937</v>
      </c>
      <c r="I160" s="2" t="s">
        <v>816</v>
      </c>
      <c r="J160" s="2" t="s">
        <v>939</v>
      </c>
      <c r="K160" s="2" t="s">
        <v>89</v>
      </c>
      <c r="L160" s="2" t="s">
        <v>111</v>
      </c>
      <c r="M160" s="2" t="s">
        <v>173</v>
      </c>
    </row>
    <row r="161" spans="1:13">
      <c r="A161" s="96" t="s">
        <v>872</v>
      </c>
      <c r="B161" s="2" t="s">
        <v>127</v>
      </c>
      <c r="C161" s="2" t="s">
        <v>125</v>
      </c>
      <c r="D161" s="2" t="s">
        <v>156</v>
      </c>
      <c r="E161" s="2" t="s">
        <v>806</v>
      </c>
      <c r="F161" s="2" t="s">
        <v>927</v>
      </c>
      <c r="G161" s="2" t="s">
        <v>809</v>
      </c>
      <c r="H161" s="2" t="s">
        <v>809</v>
      </c>
      <c r="I161" s="2" t="s">
        <v>812</v>
      </c>
      <c r="J161" s="2" t="s">
        <v>816</v>
      </c>
      <c r="K161" s="2" t="s">
        <v>806</v>
      </c>
      <c r="L161" s="2" t="s">
        <v>157</v>
      </c>
      <c r="M161" s="2" t="s">
        <v>169</v>
      </c>
    </row>
    <row r="162" spans="1:13">
      <c r="A162" s="96" t="s">
        <v>874</v>
      </c>
      <c r="B162" s="2" t="s">
        <v>157</v>
      </c>
      <c r="C162" s="2" t="s">
        <v>280</v>
      </c>
      <c r="D162" s="2" t="s">
        <v>105</v>
      </c>
      <c r="E162" s="2" t="s">
        <v>932</v>
      </c>
      <c r="F162" s="2" t="s">
        <v>933</v>
      </c>
      <c r="G162" s="2" t="s">
        <v>930</v>
      </c>
      <c r="H162" s="2" t="s">
        <v>811</v>
      </c>
      <c r="I162" s="2" t="s">
        <v>928</v>
      </c>
      <c r="J162" s="2" t="s">
        <v>808</v>
      </c>
      <c r="K162" s="2" t="s">
        <v>124</v>
      </c>
      <c r="L162" s="2" t="s">
        <v>157</v>
      </c>
      <c r="M162" s="2" t="s">
        <v>169</v>
      </c>
    </row>
    <row r="163" spans="1:13">
      <c r="A163" s="96" t="s">
        <v>876</v>
      </c>
      <c r="B163" s="2" t="s">
        <v>271</v>
      </c>
      <c r="C163" s="2" t="s">
        <v>117</v>
      </c>
      <c r="D163" s="2" t="s">
        <v>129</v>
      </c>
      <c r="E163" s="2" t="s">
        <v>807</v>
      </c>
      <c r="F163" s="2" t="s">
        <v>808</v>
      </c>
      <c r="G163" s="2" t="s">
        <v>929</v>
      </c>
      <c r="H163" s="2" t="s">
        <v>948</v>
      </c>
      <c r="I163" s="2" t="s">
        <v>930</v>
      </c>
      <c r="J163" s="2" t="s">
        <v>935</v>
      </c>
      <c r="K163" s="2" t="s">
        <v>116</v>
      </c>
      <c r="L163" s="2" t="s">
        <v>157</v>
      </c>
      <c r="M163" s="2" t="s">
        <v>169</v>
      </c>
    </row>
    <row r="164" spans="1:13">
      <c r="A164" s="96" t="s">
        <v>877</v>
      </c>
      <c r="B164" s="2" t="s">
        <v>283</v>
      </c>
      <c r="C164" s="2" t="s">
        <v>114</v>
      </c>
      <c r="D164" s="2" t="s">
        <v>310</v>
      </c>
      <c r="E164" s="2" t="s">
        <v>158</v>
      </c>
      <c r="F164" s="2" t="s">
        <v>938</v>
      </c>
      <c r="G164" s="2" t="s">
        <v>928</v>
      </c>
      <c r="H164" s="2" t="s">
        <v>930</v>
      </c>
      <c r="I164" s="2" t="s">
        <v>812</v>
      </c>
      <c r="J164" s="2" t="s">
        <v>816</v>
      </c>
      <c r="K164" s="2" t="s">
        <v>89</v>
      </c>
      <c r="L164" s="2" t="s">
        <v>282</v>
      </c>
      <c r="M164" s="2" t="s">
        <v>112</v>
      </c>
    </row>
    <row r="165" spans="1:13">
      <c r="A165" s="96" t="s">
        <v>879</v>
      </c>
      <c r="B165" s="2" t="s">
        <v>123</v>
      </c>
      <c r="C165" s="2" t="s">
        <v>127</v>
      </c>
      <c r="D165" s="2" t="s">
        <v>286</v>
      </c>
      <c r="E165" s="2" t="s">
        <v>155</v>
      </c>
      <c r="F165" s="2" t="s">
        <v>807</v>
      </c>
      <c r="G165" s="2" t="s">
        <v>808</v>
      </c>
      <c r="H165" s="2" t="s">
        <v>939</v>
      </c>
      <c r="I165" s="2" t="s">
        <v>934</v>
      </c>
      <c r="J165" s="2" t="s">
        <v>165</v>
      </c>
      <c r="K165" s="2" t="s">
        <v>163</v>
      </c>
      <c r="L165" s="2" t="s">
        <v>147</v>
      </c>
      <c r="M165" s="2" t="s">
        <v>202</v>
      </c>
    </row>
    <row r="166" spans="1:13">
      <c r="A166" s="96" t="s">
        <v>881</v>
      </c>
      <c r="B166" s="2" t="s">
        <v>111</v>
      </c>
      <c r="C166" s="2" t="s">
        <v>282</v>
      </c>
      <c r="D166" s="2" t="s">
        <v>159</v>
      </c>
      <c r="E166" s="2" t="s">
        <v>113</v>
      </c>
      <c r="F166" s="2" t="s">
        <v>807</v>
      </c>
      <c r="G166" s="2" t="s">
        <v>937</v>
      </c>
      <c r="H166" s="2" t="s">
        <v>939</v>
      </c>
      <c r="I166" s="2" t="s">
        <v>933</v>
      </c>
      <c r="J166" s="2" t="s">
        <v>165</v>
      </c>
      <c r="K166" s="2" t="s">
        <v>162</v>
      </c>
      <c r="L166" s="2" t="s">
        <v>140</v>
      </c>
      <c r="M166" s="2" t="s">
        <v>222</v>
      </c>
    </row>
    <row r="167" spans="1:13">
      <c r="A167" s="96" t="s">
        <v>883</v>
      </c>
      <c r="B167" s="2" t="s">
        <v>307</v>
      </c>
      <c r="C167" s="2" t="s">
        <v>108</v>
      </c>
      <c r="D167" s="2" t="s">
        <v>278</v>
      </c>
      <c r="E167" s="2" t="s">
        <v>128</v>
      </c>
      <c r="F167" s="2" t="s">
        <v>165</v>
      </c>
      <c r="G167" s="2" t="s">
        <v>934</v>
      </c>
      <c r="H167" s="2" t="s">
        <v>808</v>
      </c>
      <c r="I167" s="2" t="s">
        <v>934</v>
      </c>
      <c r="J167" s="2" t="s">
        <v>946</v>
      </c>
      <c r="K167" s="2" t="s">
        <v>163</v>
      </c>
      <c r="L167" s="2" t="s">
        <v>147</v>
      </c>
      <c r="M167" s="2" t="s">
        <v>202</v>
      </c>
    </row>
    <row r="168" spans="1:13">
      <c r="A168" s="96" t="s">
        <v>884</v>
      </c>
      <c r="B168" s="2" t="s">
        <v>140</v>
      </c>
      <c r="C168" s="2" t="s">
        <v>104</v>
      </c>
      <c r="D168" s="2" t="s">
        <v>159</v>
      </c>
      <c r="E168" s="2" t="s">
        <v>155</v>
      </c>
      <c r="F168" s="2" t="s">
        <v>932</v>
      </c>
      <c r="G168" s="2" t="s">
        <v>927</v>
      </c>
      <c r="H168" s="2" t="s">
        <v>934</v>
      </c>
      <c r="I168" s="2" t="s">
        <v>938</v>
      </c>
      <c r="J168" s="2" t="s">
        <v>807</v>
      </c>
      <c r="K168" s="2" t="s">
        <v>138</v>
      </c>
      <c r="L168" s="2" t="s">
        <v>147</v>
      </c>
      <c r="M168" s="2" t="s">
        <v>141</v>
      </c>
    </row>
    <row r="169" spans="1:13">
      <c r="A169" s="96" t="s">
        <v>887</v>
      </c>
      <c r="B169" s="2" t="s">
        <v>140</v>
      </c>
      <c r="C169" s="2" t="s">
        <v>111</v>
      </c>
      <c r="D169" s="2" t="s">
        <v>159</v>
      </c>
      <c r="E169" s="2" t="s">
        <v>113</v>
      </c>
      <c r="F169" s="2" t="s">
        <v>806</v>
      </c>
      <c r="G169" s="2" t="s">
        <v>927</v>
      </c>
      <c r="H169" s="2" t="s">
        <v>816</v>
      </c>
      <c r="I169" s="2" t="s">
        <v>938</v>
      </c>
      <c r="J169" s="2" t="s">
        <v>165</v>
      </c>
      <c r="K169" s="2" t="s">
        <v>137</v>
      </c>
      <c r="L169" s="2" t="s">
        <v>147</v>
      </c>
      <c r="M169" s="2" t="s">
        <v>119</v>
      </c>
    </row>
    <row r="170" spans="1:13">
      <c r="A170" s="96" t="s">
        <v>889</v>
      </c>
      <c r="B170" s="2" t="s">
        <v>307</v>
      </c>
      <c r="C170" s="2" t="s">
        <v>283</v>
      </c>
      <c r="D170" s="2" t="s">
        <v>310</v>
      </c>
      <c r="E170" s="2" t="s">
        <v>128</v>
      </c>
      <c r="F170" s="2" t="s">
        <v>823</v>
      </c>
      <c r="G170" s="2" t="s">
        <v>938</v>
      </c>
      <c r="H170" s="2" t="s">
        <v>939</v>
      </c>
      <c r="I170" s="2" t="s">
        <v>934</v>
      </c>
      <c r="J170" s="2" t="s">
        <v>165</v>
      </c>
      <c r="K170" s="2" t="s">
        <v>138</v>
      </c>
      <c r="L170" s="2" t="s">
        <v>104</v>
      </c>
      <c r="M170" s="2" t="s">
        <v>131</v>
      </c>
    </row>
    <row r="171" spans="1:13">
      <c r="A171" s="96" t="s">
        <v>891</v>
      </c>
      <c r="B171" s="2" t="s">
        <v>157</v>
      </c>
      <c r="C171" s="2" t="s">
        <v>125</v>
      </c>
      <c r="D171" s="2" t="s">
        <v>105</v>
      </c>
      <c r="E171" s="2" t="s">
        <v>154</v>
      </c>
      <c r="F171" s="2" t="s">
        <v>946</v>
      </c>
      <c r="G171" s="2" t="s">
        <v>939</v>
      </c>
      <c r="H171" s="2" t="s">
        <v>812</v>
      </c>
      <c r="I171" s="2" t="s">
        <v>937</v>
      </c>
      <c r="J171" s="2" t="s">
        <v>927</v>
      </c>
      <c r="K171" s="2" t="s">
        <v>128</v>
      </c>
      <c r="L171" s="2" t="s">
        <v>283</v>
      </c>
      <c r="M171" s="2" t="s">
        <v>169</v>
      </c>
    </row>
    <row r="172" spans="1:13">
      <c r="A172" s="96" t="s">
        <v>893</v>
      </c>
      <c r="B172" s="2" t="s">
        <v>125</v>
      </c>
      <c r="C172" s="2" t="s">
        <v>280</v>
      </c>
      <c r="D172" s="2" t="s">
        <v>109</v>
      </c>
      <c r="E172" s="2" t="s">
        <v>124</v>
      </c>
      <c r="F172" s="2" t="s">
        <v>956</v>
      </c>
      <c r="G172" s="2" t="s">
        <v>937</v>
      </c>
      <c r="H172" s="2" t="s">
        <v>809</v>
      </c>
      <c r="I172" s="2" t="s">
        <v>812</v>
      </c>
      <c r="J172" s="2" t="s">
        <v>933</v>
      </c>
      <c r="K172" s="2" t="s">
        <v>161</v>
      </c>
      <c r="L172" s="2" t="s">
        <v>127</v>
      </c>
      <c r="M172" s="2" t="s">
        <v>176</v>
      </c>
    </row>
    <row r="173" spans="1:13">
      <c r="A173" s="96" t="s">
        <v>895</v>
      </c>
      <c r="B173" s="2" t="s">
        <v>115</v>
      </c>
      <c r="C173" s="2" t="s">
        <v>139</v>
      </c>
      <c r="D173" s="2" t="s">
        <v>162</v>
      </c>
      <c r="E173" s="2" t="s">
        <v>807</v>
      </c>
      <c r="F173" s="2" t="s">
        <v>816</v>
      </c>
      <c r="G173" s="2" t="s">
        <v>930</v>
      </c>
      <c r="H173" s="2" t="s">
        <v>810</v>
      </c>
      <c r="I173" s="2" t="s">
        <v>811</v>
      </c>
      <c r="J173" s="2" t="s">
        <v>808</v>
      </c>
      <c r="K173" s="2" t="s">
        <v>158</v>
      </c>
      <c r="L173" s="2" t="s">
        <v>283</v>
      </c>
      <c r="M173" s="2" t="s">
        <v>133</v>
      </c>
    </row>
    <row r="174" spans="1:13">
      <c r="A174" s="96" t="s">
        <v>896</v>
      </c>
      <c r="B174" s="2" t="s">
        <v>139</v>
      </c>
      <c r="C174" s="2" t="s">
        <v>272</v>
      </c>
      <c r="D174" s="2" t="s">
        <v>155</v>
      </c>
      <c r="E174" s="2" t="s">
        <v>956</v>
      </c>
      <c r="F174" s="2" t="s">
        <v>808</v>
      </c>
      <c r="G174" s="2" t="s">
        <v>811</v>
      </c>
      <c r="H174" s="2" t="s">
        <v>810</v>
      </c>
      <c r="I174" s="2" t="s">
        <v>811</v>
      </c>
      <c r="J174" s="2" t="s">
        <v>939</v>
      </c>
      <c r="K174" s="2" t="s">
        <v>158</v>
      </c>
      <c r="L174" s="2" t="s">
        <v>127</v>
      </c>
      <c r="M174" s="2" t="s">
        <v>176</v>
      </c>
    </row>
    <row r="175" spans="1:13">
      <c r="A175" s="96" t="s">
        <v>897</v>
      </c>
      <c r="B175" s="2" t="s">
        <v>279</v>
      </c>
      <c r="C175" s="2" t="s">
        <v>310</v>
      </c>
      <c r="D175" s="2" t="s">
        <v>154</v>
      </c>
      <c r="E175" s="2" t="s">
        <v>934</v>
      </c>
      <c r="F175" s="2" t="s">
        <v>809</v>
      </c>
      <c r="G175" s="2" t="s">
        <v>951</v>
      </c>
      <c r="H175" s="2" t="s">
        <v>955</v>
      </c>
      <c r="I175" s="2" t="s">
        <v>810</v>
      </c>
      <c r="J175" s="2" t="s">
        <v>812</v>
      </c>
      <c r="K175" s="2" t="s">
        <v>806</v>
      </c>
      <c r="L175" s="2" t="s">
        <v>283</v>
      </c>
      <c r="M175" s="2" t="s">
        <v>203</v>
      </c>
    </row>
    <row r="176" spans="1:13">
      <c r="A176" s="96" t="s">
        <v>898</v>
      </c>
      <c r="B176" s="2" t="s">
        <v>279</v>
      </c>
      <c r="C176" s="2" t="s">
        <v>159</v>
      </c>
      <c r="D176" s="2" t="s">
        <v>161</v>
      </c>
      <c r="E176" s="2" t="s">
        <v>938</v>
      </c>
      <c r="F176" s="2" t="s">
        <v>812</v>
      </c>
      <c r="G176" s="2" t="s">
        <v>948</v>
      </c>
      <c r="H176" s="2" t="s">
        <v>945</v>
      </c>
      <c r="I176" s="2" t="s">
        <v>810</v>
      </c>
      <c r="J176" s="2" t="s">
        <v>812</v>
      </c>
      <c r="K176" s="2" t="s">
        <v>806</v>
      </c>
      <c r="L176" s="2" t="s">
        <v>283</v>
      </c>
      <c r="M176" s="2" t="s">
        <v>203</v>
      </c>
    </row>
    <row r="177" spans="1:13">
      <c r="A177" s="96" t="s">
        <v>900</v>
      </c>
      <c r="B177" s="2" t="s">
        <v>156</v>
      </c>
      <c r="C177" s="2" t="s">
        <v>278</v>
      </c>
      <c r="D177" s="2" t="s">
        <v>154</v>
      </c>
      <c r="E177" s="2" t="s">
        <v>808</v>
      </c>
      <c r="F177" s="2" t="s">
        <v>810</v>
      </c>
      <c r="G177" s="2" t="s">
        <v>931</v>
      </c>
      <c r="H177" s="2" t="s">
        <v>940</v>
      </c>
      <c r="I177" s="2" t="s">
        <v>805</v>
      </c>
      <c r="J177" s="2" t="s">
        <v>948</v>
      </c>
      <c r="K177" s="2" t="s">
        <v>944</v>
      </c>
      <c r="L177" s="2" t="s">
        <v>280</v>
      </c>
      <c r="M177" s="2" t="s">
        <v>226</v>
      </c>
    </row>
    <row r="178" spans="1:13">
      <c r="A178" s="96" t="s">
        <v>901</v>
      </c>
      <c r="B178" s="2" t="s">
        <v>156</v>
      </c>
      <c r="C178" s="2" t="s">
        <v>156</v>
      </c>
      <c r="D178" s="2" t="s">
        <v>932</v>
      </c>
      <c r="E178" s="2" t="s">
        <v>935</v>
      </c>
      <c r="F178" s="2" t="s">
        <v>951</v>
      </c>
      <c r="G178" s="2" t="s">
        <v>805</v>
      </c>
      <c r="H178" s="2" t="s">
        <v>953</v>
      </c>
      <c r="I178" s="2" t="s">
        <v>936</v>
      </c>
      <c r="J178" s="2" t="s">
        <v>810</v>
      </c>
      <c r="K178" s="2" t="s">
        <v>927</v>
      </c>
      <c r="L178" s="2" t="s">
        <v>114</v>
      </c>
      <c r="M178" s="2" t="s">
        <v>204</v>
      </c>
    </row>
    <row r="179" spans="1:13">
      <c r="A179" s="96" t="s">
        <v>902</v>
      </c>
      <c r="B179" s="2" t="s">
        <v>159</v>
      </c>
      <c r="C179" s="2" t="s">
        <v>289</v>
      </c>
      <c r="D179" s="2" t="s">
        <v>89</v>
      </c>
      <c r="E179" s="2" t="s">
        <v>934</v>
      </c>
      <c r="F179" s="2" t="s">
        <v>811</v>
      </c>
      <c r="G179" s="2" t="s">
        <v>945</v>
      </c>
      <c r="H179" s="2" t="s">
        <v>941</v>
      </c>
      <c r="I179" s="2" t="s">
        <v>931</v>
      </c>
      <c r="J179" s="2" t="s">
        <v>811</v>
      </c>
      <c r="K179" s="2" t="s">
        <v>946</v>
      </c>
      <c r="L179" s="2" t="s">
        <v>283</v>
      </c>
      <c r="M179" s="2" t="s">
        <v>176</v>
      </c>
    </row>
    <row r="180" spans="1:13">
      <c r="A180" s="96" t="s">
        <v>903</v>
      </c>
      <c r="B180" s="2" t="s">
        <v>159</v>
      </c>
      <c r="C180" s="2" t="s">
        <v>278</v>
      </c>
      <c r="D180" s="2" t="s">
        <v>154</v>
      </c>
      <c r="E180" s="2" t="s">
        <v>939</v>
      </c>
      <c r="F180" s="2" t="s">
        <v>810</v>
      </c>
      <c r="G180" s="2" t="s">
        <v>805</v>
      </c>
      <c r="H180" s="2" t="s">
        <v>953</v>
      </c>
      <c r="I180" s="2" t="s">
        <v>936</v>
      </c>
      <c r="J180" s="2" t="s">
        <v>948</v>
      </c>
      <c r="K180" s="2" t="s">
        <v>956</v>
      </c>
      <c r="L180" s="2" t="s">
        <v>157</v>
      </c>
      <c r="M180" s="2" t="s">
        <v>133</v>
      </c>
    </row>
    <row r="181" spans="1:13">
      <c r="A181" s="96" t="s">
        <v>905</v>
      </c>
      <c r="B181" s="2" t="s">
        <v>278</v>
      </c>
      <c r="C181" s="2" t="s">
        <v>153</v>
      </c>
      <c r="D181" s="2" t="s">
        <v>806</v>
      </c>
      <c r="E181" s="2" t="s">
        <v>812</v>
      </c>
      <c r="F181" s="2" t="s">
        <v>945</v>
      </c>
      <c r="G181" s="2" t="s">
        <v>940</v>
      </c>
      <c r="H181" s="2" t="s">
        <v>942</v>
      </c>
      <c r="I181" s="2" t="s">
        <v>941</v>
      </c>
      <c r="J181" s="2" t="s">
        <v>810</v>
      </c>
      <c r="K181" s="2" t="s">
        <v>927</v>
      </c>
      <c r="L181" s="2" t="s">
        <v>108</v>
      </c>
      <c r="M181" s="2" t="s">
        <v>243</v>
      </c>
    </row>
    <row r="182" spans="1:13">
      <c r="A182" s="96" t="s">
        <v>906</v>
      </c>
      <c r="B182" s="2" t="s">
        <v>159</v>
      </c>
      <c r="C182" s="2" t="s">
        <v>277</v>
      </c>
      <c r="D182" s="2" t="s">
        <v>124</v>
      </c>
      <c r="E182" s="2" t="s">
        <v>808</v>
      </c>
      <c r="F182" s="2" t="s">
        <v>951</v>
      </c>
      <c r="G182" s="2" t="s">
        <v>805</v>
      </c>
      <c r="H182" s="2" t="s">
        <v>940</v>
      </c>
      <c r="I182" s="2" t="s">
        <v>805</v>
      </c>
      <c r="J182" s="2" t="s">
        <v>929</v>
      </c>
      <c r="K182" s="2" t="s">
        <v>944</v>
      </c>
      <c r="L182" s="2" t="s">
        <v>283</v>
      </c>
      <c r="M182" s="2" t="s">
        <v>169</v>
      </c>
    </row>
    <row r="183" spans="1:13">
      <c r="A183" s="96" t="s">
        <v>908</v>
      </c>
      <c r="B183" s="2" t="s">
        <v>289</v>
      </c>
      <c r="C183" s="2" t="s">
        <v>310</v>
      </c>
      <c r="D183" s="2" t="s">
        <v>154</v>
      </c>
      <c r="E183" s="2" t="s">
        <v>939</v>
      </c>
      <c r="F183" s="2" t="s">
        <v>810</v>
      </c>
      <c r="G183" s="2" t="s">
        <v>805</v>
      </c>
      <c r="H183" s="2" t="s">
        <v>953</v>
      </c>
      <c r="I183" s="2" t="s">
        <v>936</v>
      </c>
      <c r="J183" s="2" t="s">
        <v>810</v>
      </c>
      <c r="K183" s="2" t="s">
        <v>927</v>
      </c>
      <c r="L183" s="2" t="s">
        <v>125</v>
      </c>
      <c r="M183" s="2" t="s">
        <v>243</v>
      </c>
    </row>
    <row r="184" spans="1:13">
      <c r="A184" s="96" t="s">
        <v>909</v>
      </c>
      <c r="B184" s="2" t="s">
        <v>139</v>
      </c>
      <c r="C184" s="2" t="s">
        <v>286</v>
      </c>
      <c r="D184" s="2" t="s">
        <v>128</v>
      </c>
      <c r="E184" s="2" t="s">
        <v>933</v>
      </c>
      <c r="F184" s="2" t="s">
        <v>811</v>
      </c>
      <c r="G184" s="2" t="s">
        <v>945</v>
      </c>
      <c r="H184" s="2" t="s">
        <v>936</v>
      </c>
      <c r="I184" s="2" t="s">
        <v>955</v>
      </c>
      <c r="J184" s="2" t="s">
        <v>811</v>
      </c>
      <c r="K184" s="2" t="s">
        <v>946</v>
      </c>
      <c r="L184" s="2" t="s">
        <v>283</v>
      </c>
      <c r="M184" s="2" t="s">
        <v>169</v>
      </c>
    </row>
    <row r="185" spans="1:13">
      <c r="A185" s="96" t="s">
        <v>910</v>
      </c>
      <c r="B185" s="2" t="s">
        <v>271</v>
      </c>
      <c r="C185" s="2" t="s">
        <v>115</v>
      </c>
      <c r="D185" s="2" t="s">
        <v>162</v>
      </c>
      <c r="E185" s="2" t="s">
        <v>956</v>
      </c>
      <c r="F185" s="2" t="s">
        <v>928</v>
      </c>
      <c r="G185" s="2" t="s">
        <v>810</v>
      </c>
      <c r="H185" s="2" t="s">
        <v>955</v>
      </c>
      <c r="I185" s="2" t="s">
        <v>943</v>
      </c>
      <c r="J185" s="2" t="s">
        <v>809</v>
      </c>
      <c r="K185" s="2" t="s">
        <v>823</v>
      </c>
      <c r="L185" s="2" t="s">
        <v>282</v>
      </c>
      <c r="M185" s="2" t="s">
        <v>112</v>
      </c>
    </row>
    <row r="186" spans="1:13">
      <c r="A186" s="96" t="s">
        <v>911</v>
      </c>
      <c r="B186" s="2" t="s">
        <v>139</v>
      </c>
      <c r="C186" s="2" t="s">
        <v>159</v>
      </c>
      <c r="D186" s="2" t="s">
        <v>155</v>
      </c>
      <c r="E186" s="2" t="s">
        <v>934</v>
      </c>
      <c r="F186" s="2" t="s">
        <v>811</v>
      </c>
      <c r="G186" s="2" t="s">
        <v>931</v>
      </c>
      <c r="H186" s="2" t="s">
        <v>936</v>
      </c>
      <c r="I186" s="2" t="s">
        <v>931</v>
      </c>
      <c r="J186" s="2" t="s">
        <v>811</v>
      </c>
      <c r="K186" s="2" t="s">
        <v>946</v>
      </c>
      <c r="L186" s="2" t="s">
        <v>157</v>
      </c>
      <c r="M186" s="2" t="s">
        <v>176</v>
      </c>
    </row>
    <row r="187" spans="1:13">
      <c r="A187" s="96" t="s">
        <v>912</v>
      </c>
      <c r="B187" s="2" t="s">
        <v>286</v>
      </c>
      <c r="C187" s="2" t="s">
        <v>278</v>
      </c>
      <c r="D187" s="2" t="s">
        <v>164</v>
      </c>
      <c r="E187" s="2" t="s">
        <v>816</v>
      </c>
      <c r="F187" s="2" t="s">
        <v>951</v>
      </c>
      <c r="G187" s="2" t="s">
        <v>945</v>
      </c>
      <c r="H187" s="2" t="s">
        <v>941</v>
      </c>
      <c r="I187" s="2" t="s">
        <v>931</v>
      </c>
      <c r="J187" s="2" t="s">
        <v>929</v>
      </c>
      <c r="K187" s="2" t="s">
        <v>946</v>
      </c>
      <c r="L187" s="2" t="s">
        <v>125</v>
      </c>
      <c r="M187" s="2" t="s">
        <v>203</v>
      </c>
    </row>
    <row r="188" spans="1:13">
      <c r="A188" s="96" t="s">
        <v>913</v>
      </c>
      <c r="B188" s="2" t="s">
        <v>103</v>
      </c>
      <c r="C188" s="2" t="s">
        <v>286</v>
      </c>
      <c r="D188" s="2" t="s">
        <v>128</v>
      </c>
      <c r="E188" s="2" t="s">
        <v>927</v>
      </c>
      <c r="F188" s="2" t="s">
        <v>929</v>
      </c>
      <c r="G188" s="2" t="s">
        <v>810</v>
      </c>
      <c r="H188" s="2" t="s">
        <v>805</v>
      </c>
      <c r="I188" s="2" t="s">
        <v>945</v>
      </c>
      <c r="J188" s="2" t="s">
        <v>930</v>
      </c>
      <c r="K188" s="2" t="s">
        <v>807</v>
      </c>
      <c r="L188" s="2" t="s">
        <v>157</v>
      </c>
      <c r="M188" s="2" t="s">
        <v>176</v>
      </c>
    </row>
    <row r="189" spans="1:13">
      <c r="A189" s="96" t="s">
        <v>914</v>
      </c>
      <c r="B189" s="2" t="s">
        <v>280</v>
      </c>
      <c r="C189" s="2" t="s">
        <v>270</v>
      </c>
      <c r="D189" s="2" t="s">
        <v>137</v>
      </c>
      <c r="E189" s="2" t="s">
        <v>932</v>
      </c>
      <c r="F189" s="2" t="s">
        <v>808</v>
      </c>
      <c r="G189" s="2" t="s">
        <v>809</v>
      </c>
      <c r="H189" s="2" t="s">
        <v>810</v>
      </c>
      <c r="I189" s="2" t="s">
        <v>811</v>
      </c>
      <c r="J189" s="2" t="s">
        <v>937</v>
      </c>
      <c r="K189" s="2" t="s">
        <v>158</v>
      </c>
      <c r="L189" s="2" t="s">
        <v>127</v>
      </c>
      <c r="M189" s="2" t="s">
        <v>144</v>
      </c>
    </row>
    <row r="190" spans="1:13">
      <c r="A190" s="96" t="s">
        <v>915</v>
      </c>
      <c r="B190" s="2" t="s">
        <v>114</v>
      </c>
      <c r="C190" s="2" t="s">
        <v>271</v>
      </c>
      <c r="D190" s="2" t="s">
        <v>137</v>
      </c>
      <c r="E190" s="2" t="s">
        <v>932</v>
      </c>
      <c r="F190" s="2" t="s">
        <v>808</v>
      </c>
      <c r="G190" s="2" t="s">
        <v>928</v>
      </c>
      <c r="H190" s="2" t="s">
        <v>948</v>
      </c>
      <c r="I190" s="2" t="s">
        <v>930</v>
      </c>
      <c r="J190" s="2" t="s">
        <v>939</v>
      </c>
      <c r="K190" s="2" t="s">
        <v>124</v>
      </c>
      <c r="L190" s="2" t="s">
        <v>104</v>
      </c>
      <c r="M190" s="2" t="s">
        <v>145</v>
      </c>
    </row>
    <row r="191" spans="1:13">
      <c r="A191" s="96" t="s">
        <v>916</v>
      </c>
      <c r="B191" s="2" t="s">
        <v>271</v>
      </c>
      <c r="C191" s="2" t="s">
        <v>281</v>
      </c>
      <c r="D191" s="2" t="s">
        <v>137</v>
      </c>
      <c r="E191" s="2" t="s">
        <v>807</v>
      </c>
      <c r="F191" s="2" t="s">
        <v>812</v>
      </c>
      <c r="G191" s="2" t="s">
        <v>811</v>
      </c>
      <c r="H191" s="2" t="s">
        <v>943</v>
      </c>
      <c r="I191" s="2" t="s">
        <v>810</v>
      </c>
      <c r="J191" s="2" t="s">
        <v>812</v>
      </c>
      <c r="K191" s="2" t="s">
        <v>823</v>
      </c>
      <c r="L191" s="2" t="s">
        <v>157</v>
      </c>
      <c r="M191" s="2" t="s">
        <v>112</v>
      </c>
    </row>
    <row r="192" spans="1:13">
      <c r="A192" s="96" t="s">
        <v>917</v>
      </c>
      <c r="B192" s="2" t="s">
        <v>160</v>
      </c>
      <c r="C192" s="2" t="s">
        <v>160</v>
      </c>
      <c r="D192" s="2" t="s">
        <v>155</v>
      </c>
      <c r="E192" s="2" t="s">
        <v>934</v>
      </c>
      <c r="F192" s="2" t="s">
        <v>929</v>
      </c>
      <c r="G192" s="2" t="s">
        <v>943</v>
      </c>
      <c r="H192" s="2" t="s">
        <v>936</v>
      </c>
      <c r="I192" s="2" t="s">
        <v>931</v>
      </c>
      <c r="J192" s="2" t="s">
        <v>929</v>
      </c>
      <c r="K192" s="2" t="s">
        <v>927</v>
      </c>
      <c r="L192" s="2" t="s">
        <v>280</v>
      </c>
      <c r="M192" s="2" t="s">
        <v>203</v>
      </c>
    </row>
    <row r="193" spans="1:13">
      <c r="A193" s="96" t="s">
        <v>918</v>
      </c>
      <c r="B193" s="2" t="s">
        <v>160</v>
      </c>
      <c r="C193" s="2" t="s">
        <v>289</v>
      </c>
      <c r="D193" s="2" t="s">
        <v>161</v>
      </c>
      <c r="E193" s="2" t="s">
        <v>937</v>
      </c>
      <c r="F193" s="2" t="s">
        <v>945</v>
      </c>
      <c r="G193" s="2" t="s">
        <v>936</v>
      </c>
      <c r="H193" s="2" t="s">
        <v>942</v>
      </c>
      <c r="I193" s="2" t="s">
        <v>940</v>
      </c>
      <c r="J193" s="2" t="s">
        <v>943</v>
      </c>
      <c r="K193" s="2" t="s">
        <v>816</v>
      </c>
      <c r="L193" s="2" t="s">
        <v>115</v>
      </c>
      <c r="M193" s="2" t="s">
        <v>175</v>
      </c>
    </row>
    <row r="194" spans="1:13">
      <c r="A194" s="96" t="s">
        <v>919</v>
      </c>
      <c r="B194" s="2" t="s">
        <v>271</v>
      </c>
      <c r="C194" s="2" t="s">
        <v>270</v>
      </c>
      <c r="D194" s="2" t="s">
        <v>132</v>
      </c>
      <c r="E194" s="2" t="s">
        <v>956</v>
      </c>
      <c r="F194" s="2" t="s">
        <v>930</v>
      </c>
      <c r="G194" s="2" t="s">
        <v>951</v>
      </c>
      <c r="H194" s="2" t="s">
        <v>805</v>
      </c>
      <c r="I194" s="2" t="s">
        <v>931</v>
      </c>
      <c r="J194" s="2" t="s">
        <v>929</v>
      </c>
      <c r="K194" s="2" t="s">
        <v>927</v>
      </c>
      <c r="L194" s="2" t="s">
        <v>270</v>
      </c>
      <c r="M194" s="2" t="s">
        <v>204</v>
      </c>
    </row>
    <row r="195" spans="1:13">
      <c r="A195" s="96" t="s">
        <v>920</v>
      </c>
      <c r="B195" s="2" t="s">
        <v>115</v>
      </c>
      <c r="C195" s="2" t="s">
        <v>103</v>
      </c>
      <c r="D195" s="2" t="s">
        <v>163</v>
      </c>
      <c r="E195" s="2" t="s">
        <v>933</v>
      </c>
      <c r="F195" s="2" t="s">
        <v>811</v>
      </c>
      <c r="G195" s="2" t="s">
        <v>936</v>
      </c>
      <c r="H195" s="2" t="s">
        <v>941</v>
      </c>
      <c r="I195" s="2" t="s">
        <v>931</v>
      </c>
      <c r="J195" s="2" t="s">
        <v>929</v>
      </c>
      <c r="K195" s="2" t="s">
        <v>927</v>
      </c>
      <c r="L195" s="2" t="s">
        <v>270</v>
      </c>
      <c r="M195" s="2" t="s">
        <v>261</v>
      </c>
    </row>
    <row r="196" spans="1:13">
      <c r="A196" s="96" t="s">
        <v>921</v>
      </c>
      <c r="B196" s="2" t="s">
        <v>279</v>
      </c>
      <c r="C196" s="2" t="s">
        <v>310</v>
      </c>
      <c r="D196" s="2" t="s">
        <v>164</v>
      </c>
      <c r="E196" s="2" t="s">
        <v>937</v>
      </c>
      <c r="F196" s="2" t="s">
        <v>931</v>
      </c>
      <c r="G196" s="2" t="s">
        <v>942</v>
      </c>
      <c r="H196" s="2" t="s">
        <v>942</v>
      </c>
      <c r="I196" s="2" t="s">
        <v>940</v>
      </c>
      <c r="J196" s="2" t="s">
        <v>943</v>
      </c>
      <c r="K196" s="2" t="s">
        <v>934</v>
      </c>
      <c r="L196" s="2" t="s">
        <v>115</v>
      </c>
      <c r="M196" s="2" t="s">
        <v>118</v>
      </c>
    </row>
    <row r="197" spans="1:13">
      <c r="A197" s="96" t="s">
        <v>922</v>
      </c>
      <c r="B197" s="2" t="s">
        <v>278</v>
      </c>
      <c r="C197" s="2" t="s">
        <v>156</v>
      </c>
      <c r="D197" s="2" t="s">
        <v>89</v>
      </c>
      <c r="E197" s="2" t="s">
        <v>812</v>
      </c>
      <c r="F197" s="2" t="s">
        <v>936</v>
      </c>
      <c r="G197" s="2" t="s">
        <v>954</v>
      </c>
      <c r="H197" s="2" t="s">
        <v>950</v>
      </c>
      <c r="I197" s="2" t="s">
        <v>947</v>
      </c>
      <c r="J197" s="2" t="s">
        <v>931</v>
      </c>
      <c r="K197" s="2" t="s">
        <v>808</v>
      </c>
      <c r="L197" s="2" t="s">
        <v>160</v>
      </c>
      <c r="M197" s="2" t="s">
        <v>193</v>
      </c>
    </row>
    <row r="198" spans="1:13">
      <c r="A198" s="96" t="s">
        <v>923</v>
      </c>
      <c r="B198" s="2" t="s">
        <v>146</v>
      </c>
      <c r="C198" s="2" t="s">
        <v>132</v>
      </c>
      <c r="D198" s="2" t="s">
        <v>932</v>
      </c>
      <c r="E198" s="2" t="s">
        <v>811</v>
      </c>
      <c r="F198" s="2" t="s">
        <v>942</v>
      </c>
      <c r="G198" s="2" t="s">
        <v>952</v>
      </c>
      <c r="H198" s="2" t="s">
        <v>952</v>
      </c>
      <c r="I198" s="2" t="s">
        <v>950</v>
      </c>
      <c r="J198" s="2" t="s">
        <v>941</v>
      </c>
      <c r="K198" s="2" t="s">
        <v>812</v>
      </c>
      <c r="L198" s="2" t="s">
        <v>159</v>
      </c>
      <c r="M198" s="2" t="s">
        <v>136</v>
      </c>
    </row>
    <row r="199" spans="1:13">
      <c r="A199" s="96" t="s">
        <v>924</v>
      </c>
      <c r="B199" s="2" t="s">
        <v>137</v>
      </c>
      <c r="C199" s="2" t="s">
        <v>137</v>
      </c>
      <c r="D199" s="2" t="s">
        <v>823</v>
      </c>
      <c r="E199" s="2" t="s">
        <v>929</v>
      </c>
      <c r="F199" s="2" t="s">
        <v>960</v>
      </c>
      <c r="G199" s="2" t="s">
        <v>969</v>
      </c>
      <c r="H199" s="2" t="s">
        <v>969</v>
      </c>
      <c r="I199" s="2" t="s">
        <v>957</v>
      </c>
      <c r="J199" s="2" t="s">
        <v>941</v>
      </c>
      <c r="K199" s="2" t="s">
        <v>928</v>
      </c>
      <c r="L199" s="2" t="s">
        <v>286</v>
      </c>
      <c r="M199" s="2" t="s">
        <v>266</v>
      </c>
    </row>
    <row r="200" spans="1:13">
      <c r="A200" s="96" t="s">
        <v>925</v>
      </c>
      <c r="B200" s="2" t="s">
        <v>156</v>
      </c>
      <c r="C200" s="2" t="s">
        <v>277</v>
      </c>
      <c r="D200" s="2" t="s">
        <v>158</v>
      </c>
      <c r="E200" s="2" t="s">
        <v>812</v>
      </c>
      <c r="F200" s="2" t="s">
        <v>941</v>
      </c>
      <c r="G200" s="2" t="s">
        <v>950</v>
      </c>
      <c r="H200" s="2" t="s">
        <v>950</v>
      </c>
      <c r="I200" s="2" t="s">
        <v>947</v>
      </c>
      <c r="J200" s="2" t="s">
        <v>931</v>
      </c>
      <c r="K200" s="2" t="s">
        <v>937</v>
      </c>
      <c r="L200" s="2" t="s">
        <v>103</v>
      </c>
      <c r="M200" s="2" t="s">
        <v>149</v>
      </c>
    </row>
    <row r="201" spans="1:13">
      <c r="A201" s="96" t="s">
        <v>926</v>
      </c>
      <c r="B201" s="2" t="s">
        <v>310</v>
      </c>
      <c r="C201" s="2" t="s">
        <v>310</v>
      </c>
      <c r="D201" s="2" t="s">
        <v>154</v>
      </c>
      <c r="E201" s="2" t="s">
        <v>935</v>
      </c>
      <c r="F201" s="2" t="s">
        <v>940</v>
      </c>
      <c r="G201" s="2" t="s">
        <v>960</v>
      </c>
      <c r="H201" s="2" t="s">
        <v>954</v>
      </c>
      <c r="I201" s="2" t="s">
        <v>942</v>
      </c>
      <c r="J201" s="2" t="s">
        <v>955</v>
      </c>
      <c r="K201" s="2" t="s">
        <v>939</v>
      </c>
      <c r="L201" s="2" t="s">
        <v>103</v>
      </c>
      <c r="M201" s="2" t="s">
        <v>175</v>
      </c>
    </row>
    <row r="202" spans="1:13">
      <c r="A202" s="76" t="s">
        <v>3</v>
      </c>
      <c r="B202" s="2" t="s">
        <v>578</v>
      </c>
      <c r="C202" s="2" t="s">
        <v>452</v>
      </c>
      <c r="D202" s="2" t="s">
        <v>134</v>
      </c>
      <c r="E202" s="2" t="s">
        <v>110</v>
      </c>
      <c r="F202" s="2" t="s">
        <v>205</v>
      </c>
      <c r="G202" s="2" t="s">
        <v>267</v>
      </c>
      <c r="H202" s="2" t="s">
        <v>130</v>
      </c>
      <c r="I202" s="2" t="s">
        <v>263</v>
      </c>
      <c r="J202" s="2" t="s">
        <v>166</v>
      </c>
      <c r="K202" s="2" t="s">
        <v>244</v>
      </c>
      <c r="L202" s="2" t="s">
        <v>303</v>
      </c>
      <c r="M202" s="2" t="s">
        <v>454</v>
      </c>
    </row>
    <row r="203" spans="1:13">
      <c r="A203" s="96" t="s">
        <v>824</v>
      </c>
      <c r="B203" s="2" t="s">
        <v>472</v>
      </c>
      <c r="C203" s="2" t="s">
        <v>452</v>
      </c>
      <c r="D203" s="2" t="s">
        <v>257</v>
      </c>
      <c r="E203" s="2" t="s">
        <v>110</v>
      </c>
      <c r="F203" s="2" t="s">
        <v>121</v>
      </c>
      <c r="G203" s="2" t="s">
        <v>174</v>
      </c>
      <c r="H203" s="2" t="s">
        <v>152</v>
      </c>
      <c r="I203" s="2" t="s">
        <v>224</v>
      </c>
      <c r="J203" s="2" t="s">
        <v>248</v>
      </c>
      <c r="K203" s="2" t="s">
        <v>150</v>
      </c>
      <c r="L203" s="2" t="s">
        <v>342</v>
      </c>
      <c r="M203" s="2" t="s">
        <v>411</v>
      </c>
    </row>
    <row r="204" spans="1:13">
      <c r="A204" s="96" t="s">
        <v>826</v>
      </c>
      <c r="B204" s="2" t="s">
        <v>646</v>
      </c>
      <c r="C204" s="2" t="s">
        <v>516</v>
      </c>
      <c r="D204" s="2" t="s">
        <v>276</v>
      </c>
      <c r="E204" s="2" t="s">
        <v>265</v>
      </c>
      <c r="F204" s="2" t="s">
        <v>266</v>
      </c>
      <c r="G204" s="2" t="s">
        <v>226</v>
      </c>
      <c r="H204" s="2" t="s">
        <v>219</v>
      </c>
      <c r="I204" s="2" t="s">
        <v>199</v>
      </c>
      <c r="J204" s="2" t="s">
        <v>152</v>
      </c>
      <c r="K204" s="2" t="s">
        <v>248</v>
      </c>
      <c r="L204" s="2" t="s">
        <v>269</v>
      </c>
      <c r="M204" s="2" t="s">
        <v>435</v>
      </c>
    </row>
    <row r="205" spans="1:13">
      <c r="A205" s="96" t="s">
        <v>828</v>
      </c>
      <c r="B205" s="2" t="s">
        <v>545</v>
      </c>
      <c r="C205" s="2" t="s">
        <v>502</v>
      </c>
      <c r="D205" s="2" t="s">
        <v>293</v>
      </c>
      <c r="E205" s="2" t="s">
        <v>149</v>
      </c>
      <c r="F205" s="2" t="s">
        <v>266</v>
      </c>
      <c r="G205" s="2" t="s">
        <v>118</v>
      </c>
      <c r="H205" s="2" t="s">
        <v>219</v>
      </c>
      <c r="I205" s="2" t="s">
        <v>199</v>
      </c>
      <c r="J205" s="2" t="s">
        <v>152</v>
      </c>
      <c r="K205" s="2" t="s">
        <v>248</v>
      </c>
      <c r="L205" s="2" t="s">
        <v>269</v>
      </c>
      <c r="M205" s="2" t="s">
        <v>435</v>
      </c>
    </row>
    <row r="206" spans="1:13">
      <c r="A206" s="96" t="s">
        <v>830</v>
      </c>
      <c r="B206" s="2" t="s">
        <v>545</v>
      </c>
      <c r="C206" s="2" t="s">
        <v>502</v>
      </c>
      <c r="D206" s="2" t="s">
        <v>293</v>
      </c>
      <c r="E206" s="2" t="s">
        <v>226</v>
      </c>
      <c r="F206" s="2" t="s">
        <v>265</v>
      </c>
      <c r="G206" s="2" t="s">
        <v>204</v>
      </c>
      <c r="H206" s="2" t="s">
        <v>126</v>
      </c>
      <c r="I206" s="2" t="s">
        <v>195</v>
      </c>
      <c r="J206" s="2" t="s">
        <v>152</v>
      </c>
      <c r="K206" s="2" t="s">
        <v>207</v>
      </c>
      <c r="L206" s="2" t="s">
        <v>356</v>
      </c>
      <c r="M206" s="2" t="s">
        <v>462</v>
      </c>
    </row>
    <row r="207" spans="1:13">
      <c r="A207" s="96" t="s">
        <v>834</v>
      </c>
      <c r="B207" s="2" t="s">
        <v>574</v>
      </c>
      <c r="C207" s="2" t="s">
        <v>723</v>
      </c>
      <c r="D207" s="2" t="s">
        <v>249</v>
      </c>
      <c r="E207" s="2" t="s">
        <v>174</v>
      </c>
      <c r="F207" s="2" t="s">
        <v>143</v>
      </c>
      <c r="G207" s="2" t="s">
        <v>193</v>
      </c>
      <c r="H207" s="2" t="s">
        <v>262</v>
      </c>
      <c r="I207" s="2" t="s">
        <v>219</v>
      </c>
      <c r="J207" s="2" t="s">
        <v>213</v>
      </c>
      <c r="K207" s="2" t="s">
        <v>245</v>
      </c>
      <c r="L207" s="2" t="s">
        <v>287</v>
      </c>
      <c r="M207" s="2" t="s">
        <v>385</v>
      </c>
    </row>
    <row r="208" spans="1:13">
      <c r="A208" s="96" t="s">
        <v>836</v>
      </c>
      <c r="B208" s="2" t="s">
        <v>616</v>
      </c>
      <c r="C208" s="2" t="s">
        <v>541</v>
      </c>
      <c r="D208" s="2" t="s">
        <v>241</v>
      </c>
      <c r="E208" s="2" t="s">
        <v>265</v>
      </c>
      <c r="F208" s="2" t="s">
        <v>136</v>
      </c>
      <c r="G208" s="2" t="s">
        <v>175</v>
      </c>
      <c r="H208" s="2" t="s">
        <v>260</v>
      </c>
      <c r="I208" s="2" t="s">
        <v>192</v>
      </c>
      <c r="J208" s="2" t="s">
        <v>264</v>
      </c>
      <c r="K208" s="2" t="s">
        <v>206</v>
      </c>
      <c r="L208" s="2" t="s">
        <v>301</v>
      </c>
      <c r="M208" s="2" t="s">
        <v>414</v>
      </c>
    </row>
    <row r="209" spans="1:13">
      <c r="A209" s="96" t="s">
        <v>839</v>
      </c>
      <c r="B209" s="2" t="s">
        <v>480</v>
      </c>
      <c r="C209" s="2" t="s">
        <v>529</v>
      </c>
      <c r="D209" s="2" t="s">
        <v>276</v>
      </c>
      <c r="E209" s="2" t="s">
        <v>226</v>
      </c>
      <c r="F209" s="2" t="s">
        <v>265</v>
      </c>
      <c r="G209" s="2" t="s">
        <v>118</v>
      </c>
      <c r="H209" s="2" t="s">
        <v>219</v>
      </c>
      <c r="I209" s="2" t="s">
        <v>199</v>
      </c>
      <c r="J209" s="2" t="s">
        <v>152</v>
      </c>
      <c r="K209" s="2" t="s">
        <v>207</v>
      </c>
      <c r="L209" s="2" t="s">
        <v>346</v>
      </c>
      <c r="M209" s="2" t="s">
        <v>464</v>
      </c>
    </row>
    <row r="210" spans="1:13">
      <c r="A210" s="96" t="s">
        <v>841</v>
      </c>
      <c r="B210" s="2" t="s">
        <v>503</v>
      </c>
      <c r="C210" s="2" t="s">
        <v>678</v>
      </c>
      <c r="D210" s="2" t="s">
        <v>170</v>
      </c>
      <c r="E210" s="2" t="s">
        <v>193</v>
      </c>
      <c r="F210" s="2" t="s">
        <v>174</v>
      </c>
      <c r="G210" s="2" t="s">
        <v>149</v>
      </c>
      <c r="H210" s="2" t="s">
        <v>224</v>
      </c>
      <c r="I210" s="2" t="s">
        <v>126</v>
      </c>
      <c r="J210" s="2" t="s">
        <v>130</v>
      </c>
      <c r="K210" s="2" t="s">
        <v>166</v>
      </c>
      <c r="L210" s="2" t="s">
        <v>269</v>
      </c>
      <c r="M210" s="2" t="s">
        <v>433</v>
      </c>
    </row>
    <row r="211" spans="1:13">
      <c r="A211" s="96" t="s">
        <v>842</v>
      </c>
      <c r="B211" s="2" t="s">
        <v>594</v>
      </c>
      <c r="C211" s="2" t="s">
        <v>540</v>
      </c>
      <c r="D211" s="2" t="s">
        <v>246</v>
      </c>
      <c r="E211" s="2" t="s">
        <v>266</v>
      </c>
      <c r="F211" s="2" t="s">
        <v>267</v>
      </c>
      <c r="G211" s="2" t="s">
        <v>265</v>
      </c>
      <c r="H211" s="2" t="s">
        <v>262</v>
      </c>
      <c r="I211" s="2" t="s">
        <v>219</v>
      </c>
      <c r="J211" s="2" t="s">
        <v>196</v>
      </c>
      <c r="K211" s="2" t="s">
        <v>245</v>
      </c>
      <c r="L211" s="2" t="s">
        <v>269</v>
      </c>
      <c r="M211" s="2" t="s">
        <v>433</v>
      </c>
    </row>
    <row r="212" spans="1:13">
      <c r="A212" s="96" t="s">
        <v>844</v>
      </c>
      <c r="B212" s="2" t="s">
        <v>616</v>
      </c>
      <c r="C212" s="2" t="s">
        <v>560</v>
      </c>
      <c r="D212" s="2" t="s">
        <v>134</v>
      </c>
      <c r="E212" s="2" t="s">
        <v>149</v>
      </c>
      <c r="F212" s="2" t="s">
        <v>266</v>
      </c>
      <c r="G212" s="2" t="s">
        <v>118</v>
      </c>
      <c r="H212" s="2" t="s">
        <v>225</v>
      </c>
      <c r="I212" s="2" t="s">
        <v>178</v>
      </c>
      <c r="J212" s="2" t="s">
        <v>223</v>
      </c>
      <c r="K212" s="2" t="s">
        <v>218</v>
      </c>
      <c r="L212" s="2" t="s">
        <v>397</v>
      </c>
      <c r="M212" s="2" t="s">
        <v>430</v>
      </c>
    </row>
    <row r="213" spans="1:13">
      <c r="A213" s="96" t="s">
        <v>847</v>
      </c>
      <c r="B213" s="2" t="s">
        <v>539</v>
      </c>
      <c r="C213" s="2" t="s">
        <v>529</v>
      </c>
      <c r="D213" s="2" t="s">
        <v>276</v>
      </c>
      <c r="E213" s="2" t="s">
        <v>243</v>
      </c>
      <c r="F213" s="2" t="s">
        <v>226</v>
      </c>
      <c r="G213" s="2" t="s">
        <v>203</v>
      </c>
      <c r="H213" s="2" t="s">
        <v>178</v>
      </c>
      <c r="I213" s="2" t="s">
        <v>214</v>
      </c>
      <c r="J213" s="2" t="s">
        <v>262</v>
      </c>
      <c r="K213" s="2" t="s">
        <v>213</v>
      </c>
      <c r="L213" s="2" t="s">
        <v>331</v>
      </c>
      <c r="M213" s="2" t="s">
        <v>429</v>
      </c>
    </row>
    <row r="214" spans="1:13">
      <c r="A214" s="96" t="s">
        <v>851</v>
      </c>
      <c r="B214" s="2" t="s">
        <v>479</v>
      </c>
      <c r="C214" s="2" t="s">
        <v>683</v>
      </c>
      <c r="D214" s="2" t="s">
        <v>250</v>
      </c>
      <c r="E214" s="2" t="s">
        <v>204</v>
      </c>
      <c r="F214" s="2" t="s">
        <v>175</v>
      </c>
      <c r="G214" s="2" t="s">
        <v>261</v>
      </c>
      <c r="H214" s="2" t="s">
        <v>126</v>
      </c>
      <c r="I214" s="2" t="s">
        <v>195</v>
      </c>
      <c r="J214" s="2" t="s">
        <v>263</v>
      </c>
      <c r="K214" s="2" t="s">
        <v>212</v>
      </c>
      <c r="L214" s="2" t="s">
        <v>300</v>
      </c>
      <c r="M214" s="2" t="s">
        <v>429</v>
      </c>
    </row>
    <row r="215" spans="1:13">
      <c r="A215" s="96" t="s">
        <v>852</v>
      </c>
      <c r="B215" s="2" t="s">
        <v>538</v>
      </c>
      <c r="C215" s="2" t="s">
        <v>595</v>
      </c>
      <c r="D215" s="2" t="s">
        <v>210</v>
      </c>
      <c r="E215" s="2" t="s">
        <v>133</v>
      </c>
      <c r="F215" s="2" t="s">
        <v>261</v>
      </c>
      <c r="G215" s="2" t="s">
        <v>176</v>
      </c>
      <c r="H215" s="2" t="s">
        <v>199</v>
      </c>
      <c r="I215" s="2" t="s">
        <v>227</v>
      </c>
      <c r="J215" s="2" t="s">
        <v>224</v>
      </c>
      <c r="K215" s="2" t="s">
        <v>196</v>
      </c>
      <c r="L215" s="2" t="s">
        <v>298</v>
      </c>
      <c r="M215" s="2" t="s">
        <v>429</v>
      </c>
    </row>
    <row r="216" spans="1:13">
      <c r="A216" s="96" t="s">
        <v>854</v>
      </c>
      <c r="B216" s="2" t="s">
        <v>528</v>
      </c>
      <c r="C216" s="2" t="s">
        <v>503</v>
      </c>
      <c r="D216" s="2" t="s">
        <v>329</v>
      </c>
      <c r="E216" s="2" t="s">
        <v>203</v>
      </c>
      <c r="F216" s="2" t="s">
        <v>118</v>
      </c>
      <c r="G216" s="2" t="s">
        <v>203</v>
      </c>
      <c r="H216" s="2" t="s">
        <v>178</v>
      </c>
      <c r="I216" s="2" t="s">
        <v>167</v>
      </c>
      <c r="J216" s="2" t="s">
        <v>262</v>
      </c>
      <c r="K216" s="2" t="s">
        <v>213</v>
      </c>
      <c r="L216" s="2" t="s">
        <v>352</v>
      </c>
      <c r="M216" s="2" t="s">
        <v>449</v>
      </c>
    </row>
    <row r="217" spans="1:13">
      <c r="A217" s="96" t="s">
        <v>856</v>
      </c>
      <c r="B217" s="2" t="s">
        <v>527</v>
      </c>
      <c r="C217" s="2" t="s">
        <v>568</v>
      </c>
      <c r="D217" s="2" t="s">
        <v>352</v>
      </c>
      <c r="E217" s="2" t="s">
        <v>173</v>
      </c>
      <c r="F217" s="2" t="s">
        <v>169</v>
      </c>
      <c r="G217" s="2" t="s">
        <v>131</v>
      </c>
      <c r="H217" s="2" t="s">
        <v>227</v>
      </c>
      <c r="I217" s="2" t="s">
        <v>215</v>
      </c>
      <c r="J217" s="2" t="s">
        <v>126</v>
      </c>
      <c r="K217" s="2" t="s">
        <v>152</v>
      </c>
      <c r="L217" s="2" t="s">
        <v>327</v>
      </c>
      <c r="M217" s="2" t="s">
        <v>428</v>
      </c>
    </row>
    <row r="218" spans="1:13">
      <c r="A218" s="96" t="s">
        <v>858</v>
      </c>
      <c r="B218" s="2" t="s">
        <v>661</v>
      </c>
      <c r="C218" s="2" t="s">
        <v>615</v>
      </c>
      <c r="D218" s="2" t="s">
        <v>327</v>
      </c>
      <c r="E218" s="2" t="s">
        <v>141</v>
      </c>
      <c r="F218" s="2" t="s">
        <v>144</v>
      </c>
      <c r="G218" s="2" t="s">
        <v>141</v>
      </c>
      <c r="H218" s="2" t="s">
        <v>256</v>
      </c>
      <c r="I218" s="2" t="s">
        <v>251</v>
      </c>
      <c r="J218" s="2" t="s">
        <v>199</v>
      </c>
      <c r="K218" s="2" t="s">
        <v>224</v>
      </c>
      <c r="L218" s="2" t="s">
        <v>296</v>
      </c>
      <c r="M218" s="2" t="s">
        <v>451</v>
      </c>
    </row>
    <row r="219" spans="1:13">
      <c r="A219" s="96" t="s">
        <v>861</v>
      </c>
      <c r="B219" s="2" t="s">
        <v>500</v>
      </c>
      <c r="C219" s="2" t="s">
        <v>615</v>
      </c>
      <c r="D219" s="2" t="s">
        <v>323</v>
      </c>
      <c r="E219" s="2" t="s">
        <v>202</v>
      </c>
      <c r="F219" s="2" t="s">
        <v>145</v>
      </c>
      <c r="G219" s="2" t="s">
        <v>202</v>
      </c>
      <c r="H219" s="2" t="s">
        <v>247</v>
      </c>
      <c r="I219" s="2" t="s">
        <v>252</v>
      </c>
      <c r="J219" s="2" t="s">
        <v>214</v>
      </c>
      <c r="K219" s="2" t="s">
        <v>225</v>
      </c>
      <c r="L219" s="2" t="s">
        <v>318</v>
      </c>
      <c r="M219" s="2" t="s">
        <v>432</v>
      </c>
    </row>
    <row r="220" spans="1:13">
      <c r="A220" s="96" t="s">
        <v>865</v>
      </c>
      <c r="B220" s="2" t="s">
        <v>545</v>
      </c>
      <c r="C220" s="2" t="s">
        <v>516</v>
      </c>
      <c r="D220" s="2" t="s">
        <v>357</v>
      </c>
      <c r="E220" s="2" t="s">
        <v>169</v>
      </c>
      <c r="F220" s="2" t="s">
        <v>203</v>
      </c>
      <c r="G220" s="2" t="s">
        <v>169</v>
      </c>
      <c r="H220" s="2" t="s">
        <v>167</v>
      </c>
      <c r="I220" s="2" t="s">
        <v>194</v>
      </c>
      <c r="J220" s="2" t="s">
        <v>225</v>
      </c>
      <c r="K220" s="2" t="s">
        <v>223</v>
      </c>
      <c r="L220" s="2" t="s">
        <v>345</v>
      </c>
      <c r="M220" s="2" t="s">
        <v>462</v>
      </c>
    </row>
    <row r="221" spans="1:13">
      <c r="A221" s="96" t="s">
        <v>866</v>
      </c>
      <c r="B221" s="2" t="s">
        <v>479</v>
      </c>
      <c r="C221" s="2" t="s">
        <v>560</v>
      </c>
      <c r="D221" s="2" t="s">
        <v>314</v>
      </c>
      <c r="E221" s="2" t="s">
        <v>173</v>
      </c>
      <c r="F221" s="2" t="s">
        <v>169</v>
      </c>
      <c r="G221" s="2" t="s">
        <v>131</v>
      </c>
      <c r="H221" s="2" t="s">
        <v>227</v>
      </c>
      <c r="I221" s="2" t="s">
        <v>256</v>
      </c>
      <c r="J221" s="2" t="s">
        <v>219</v>
      </c>
      <c r="K221" s="2" t="s">
        <v>223</v>
      </c>
      <c r="L221" s="2" t="s">
        <v>301</v>
      </c>
      <c r="M221" s="2" t="s">
        <v>363</v>
      </c>
    </row>
    <row r="222" spans="1:13">
      <c r="A222" s="96" t="s">
        <v>868</v>
      </c>
      <c r="B222" s="2" t="s">
        <v>560</v>
      </c>
      <c r="C222" s="2" t="s">
        <v>578</v>
      </c>
      <c r="D222" s="2" t="s">
        <v>285</v>
      </c>
      <c r="E222" s="2" t="s">
        <v>204</v>
      </c>
      <c r="F222" s="2" t="s">
        <v>175</v>
      </c>
      <c r="G222" s="2" t="s">
        <v>261</v>
      </c>
      <c r="H222" s="2" t="s">
        <v>219</v>
      </c>
      <c r="I222" s="2" t="s">
        <v>199</v>
      </c>
      <c r="J222" s="2" t="s">
        <v>152</v>
      </c>
      <c r="K222" s="2" t="s">
        <v>207</v>
      </c>
      <c r="L222" s="2" t="s">
        <v>324</v>
      </c>
      <c r="M222" s="2" t="s">
        <v>410</v>
      </c>
    </row>
    <row r="223" spans="1:13">
      <c r="A223" s="96" t="s">
        <v>871</v>
      </c>
      <c r="B223" s="2" t="s">
        <v>540</v>
      </c>
      <c r="C223" s="2" t="s">
        <v>557</v>
      </c>
      <c r="D223" s="2" t="s">
        <v>210</v>
      </c>
      <c r="E223" s="2" t="s">
        <v>149</v>
      </c>
      <c r="F223" s="2" t="s">
        <v>266</v>
      </c>
      <c r="G223" s="2" t="s">
        <v>175</v>
      </c>
      <c r="H223" s="2" t="s">
        <v>224</v>
      </c>
      <c r="I223" s="2" t="s">
        <v>192</v>
      </c>
      <c r="J223" s="2" t="s">
        <v>264</v>
      </c>
      <c r="K223" s="2" t="s">
        <v>206</v>
      </c>
      <c r="L223" s="2" t="s">
        <v>329</v>
      </c>
      <c r="M223" s="2" t="s">
        <v>455</v>
      </c>
    </row>
    <row r="224" spans="1:13">
      <c r="A224" s="96" t="s">
        <v>872</v>
      </c>
      <c r="B224" s="2" t="s">
        <v>569</v>
      </c>
      <c r="C224" s="2" t="s">
        <v>466</v>
      </c>
      <c r="D224" s="2" t="s">
        <v>177</v>
      </c>
      <c r="E224" s="2" t="s">
        <v>267</v>
      </c>
      <c r="F224" s="2" t="s">
        <v>110</v>
      </c>
      <c r="G224" s="2" t="s">
        <v>174</v>
      </c>
      <c r="H224" s="2" t="s">
        <v>223</v>
      </c>
      <c r="I224" s="2" t="s">
        <v>262</v>
      </c>
      <c r="J224" s="2" t="s">
        <v>248</v>
      </c>
      <c r="K224" s="2" t="s">
        <v>148</v>
      </c>
      <c r="L224" s="2" t="s">
        <v>288</v>
      </c>
      <c r="M224" s="2" t="s">
        <v>403</v>
      </c>
    </row>
    <row r="225" spans="1:13">
      <c r="A225" s="96" t="s">
        <v>874</v>
      </c>
      <c r="B225" s="2" t="s">
        <v>623</v>
      </c>
      <c r="C225" s="2" t="s">
        <v>466</v>
      </c>
      <c r="D225" s="2" t="s">
        <v>134</v>
      </c>
      <c r="E225" s="2" t="s">
        <v>174</v>
      </c>
      <c r="F225" s="2" t="s">
        <v>110</v>
      </c>
      <c r="G225" s="2" t="s">
        <v>136</v>
      </c>
      <c r="H225" s="2" t="s">
        <v>223</v>
      </c>
      <c r="I225" s="2" t="s">
        <v>224</v>
      </c>
      <c r="J225" s="2" t="s">
        <v>248</v>
      </c>
      <c r="K225" s="2" t="s">
        <v>208</v>
      </c>
      <c r="L225" s="2" t="s">
        <v>288</v>
      </c>
      <c r="M225" s="2" t="s">
        <v>403</v>
      </c>
    </row>
    <row r="226" spans="1:13">
      <c r="A226" s="96" t="s">
        <v>876</v>
      </c>
      <c r="B226" s="2" t="s">
        <v>465</v>
      </c>
      <c r="C226" s="2" t="s">
        <v>428</v>
      </c>
      <c r="D226" s="2" t="s">
        <v>257</v>
      </c>
      <c r="E226" s="2" t="s">
        <v>120</v>
      </c>
      <c r="F226" s="2" t="s">
        <v>123</v>
      </c>
      <c r="G226" s="2" t="s">
        <v>205</v>
      </c>
      <c r="H226" s="2" t="s">
        <v>207</v>
      </c>
      <c r="I226" s="2" t="s">
        <v>130</v>
      </c>
      <c r="J226" s="2" t="s">
        <v>200</v>
      </c>
      <c r="K226" s="2" t="s">
        <v>202</v>
      </c>
      <c r="L226" s="2" t="s">
        <v>311</v>
      </c>
      <c r="M226" s="2" t="s">
        <v>450</v>
      </c>
    </row>
    <row r="227" spans="1:13">
      <c r="A227" s="96" t="s">
        <v>877</v>
      </c>
      <c r="B227" s="2" t="s">
        <v>605</v>
      </c>
      <c r="C227" s="2" t="s">
        <v>440</v>
      </c>
      <c r="D227" s="2" t="s">
        <v>122</v>
      </c>
      <c r="E227" s="2" t="s">
        <v>142</v>
      </c>
      <c r="F227" s="2" t="s">
        <v>120</v>
      </c>
      <c r="G227" s="2" t="s">
        <v>110</v>
      </c>
      <c r="H227" s="2" t="s">
        <v>212</v>
      </c>
      <c r="I227" s="2" t="s">
        <v>223</v>
      </c>
      <c r="J227" s="2" t="s">
        <v>245</v>
      </c>
      <c r="K227" s="2" t="s">
        <v>209</v>
      </c>
      <c r="L227" s="2" t="s">
        <v>321</v>
      </c>
      <c r="M227" s="2" t="s">
        <v>408</v>
      </c>
    </row>
    <row r="228" spans="1:13">
      <c r="A228" s="96" t="s">
        <v>879</v>
      </c>
      <c r="B228" s="2" t="s">
        <v>569</v>
      </c>
      <c r="C228" s="2" t="s">
        <v>466</v>
      </c>
      <c r="D228" s="2" t="s">
        <v>341</v>
      </c>
      <c r="E228" s="2" t="s">
        <v>267</v>
      </c>
      <c r="F228" s="2" t="s">
        <v>110</v>
      </c>
      <c r="G228" s="2" t="s">
        <v>174</v>
      </c>
      <c r="H228" s="2" t="s">
        <v>223</v>
      </c>
      <c r="I228" s="2" t="s">
        <v>262</v>
      </c>
      <c r="J228" s="2" t="s">
        <v>207</v>
      </c>
      <c r="K228" s="2" t="s">
        <v>148</v>
      </c>
      <c r="L228" s="2" t="s">
        <v>303</v>
      </c>
      <c r="M228" s="2" t="s">
        <v>413</v>
      </c>
    </row>
    <row r="229" spans="1:13">
      <c r="A229" s="96" t="s">
        <v>881</v>
      </c>
      <c r="B229" s="2" t="s">
        <v>509</v>
      </c>
      <c r="C229" s="2" t="s">
        <v>627</v>
      </c>
      <c r="D229" s="2" t="s">
        <v>397</v>
      </c>
      <c r="E229" s="2" t="s">
        <v>193</v>
      </c>
      <c r="F229" s="2" t="s">
        <v>267</v>
      </c>
      <c r="G229" s="2" t="s">
        <v>265</v>
      </c>
      <c r="H229" s="2" t="s">
        <v>228</v>
      </c>
      <c r="I229" s="2" t="s">
        <v>219</v>
      </c>
      <c r="J229" s="2" t="s">
        <v>213</v>
      </c>
      <c r="K229" s="2" t="s">
        <v>150</v>
      </c>
      <c r="L229" s="2" t="s">
        <v>328</v>
      </c>
      <c r="M229" s="2" t="s">
        <v>457</v>
      </c>
    </row>
    <row r="230" spans="1:13">
      <c r="A230" s="96" t="s">
        <v>883</v>
      </c>
      <c r="B230" s="2" t="s">
        <v>564</v>
      </c>
      <c r="C230" s="2" t="s">
        <v>438</v>
      </c>
      <c r="D230" s="2" t="s">
        <v>314</v>
      </c>
      <c r="E230" s="2" t="s">
        <v>172</v>
      </c>
      <c r="F230" s="2" t="s">
        <v>121</v>
      </c>
      <c r="G230" s="2" t="s">
        <v>267</v>
      </c>
      <c r="H230" s="2" t="s">
        <v>130</v>
      </c>
      <c r="I230" s="2" t="s">
        <v>228</v>
      </c>
      <c r="J230" s="2" t="s">
        <v>206</v>
      </c>
      <c r="K230" s="2" t="s">
        <v>171</v>
      </c>
      <c r="L230" s="2" t="s">
        <v>338</v>
      </c>
      <c r="M230" s="2" t="s">
        <v>456</v>
      </c>
    </row>
    <row r="231" spans="1:13">
      <c r="A231" s="96" t="s">
        <v>884</v>
      </c>
      <c r="B231" s="2" t="s">
        <v>554</v>
      </c>
      <c r="C231" s="2" t="s">
        <v>438</v>
      </c>
      <c r="D231" s="2" t="s">
        <v>301</v>
      </c>
      <c r="E231" s="2" t="s">
        <v>172</v>
      </c>
      <c r="F231" s="2" t="s">
        <v>142</v>
      </c>
      <c r="G231" s="2" t="s">
        <v>267</v>
      </c>
      <c r="H231" s="2" t="s">
        <v>264</v>
      </c>
      <c r="I231" s="2" t="s">
        <v>228</v>
      </c>
      <c r="J231" s="2" t="s">
        <v>206</v>
      </c>
      <c r="K231" s="2" t="s">
        <v>244</v>
      </c>
      <c r="L231" s="2" t="s">
        <v>338</v>
      </c>
      <c r="M231" s="2" t="s">
        <v>413</v>
      </c>
    </row>
    <row r="232" spans="1:13">
      <c r="A232" s="96" t="s">
        <v>887</v>
      </c>
      <c r="B232" s="2" t="s">
        <v>556</v>
      </c>
      <c r="C232" s="2" t="s">
        <v>601</v>
      </c>
      <c r="D232" s="2" t="s">
        <v>324</v>
      </c>
      <c r="E232" s="2" t="s">
        <v>136</v>
      </c>
      <c r="F232" s="2" t="s">
        <v>143</v>
      </c>
      <c r="G232" s="2" t="s">
        <v>266</v>
      </c>
      <c r="H232" s="2" t="s">
        <v>152</v>
      </c>
      <c r="I232" s="2" t="s">
        <v>224</v>
      </c>
      <c r="J232" s="2" t="s">
        <v>207</v>
      </c>
      <c r="K232" s="2" t="s">
        <v>168</v>
      </c>
      <c r="L232" s="2" t="s">
        <v>275</v>
      </c>
      <c r="M232" s="2" t="s">
        <v>456</v>
      </c>
    </row>
    <row r="233" spans="1:13">
      <c r="A233" s="96" t="s">
        <v>889</v>
      </c>
      <c r="B233" s="2" t="s">
        <v>579</v>
      </c>
      <c r="C233" s="2" t="s">
        <v>447</v>
      </c>
      <c r="D233" s="2" t="s">
        <v>335</v>
      </c>
      <c r="E233" s="2" t="s">
        <v>143</v>
      </c>
      <c r="F233" s="2" t="s">
        <v>121</v>
      </c>
      <c r="G233" s="2" t="s">
        <v>172</v>
      </c>
      <c r="H233" s="2" t="s">
        <v>130</v>
      </c>
      <c r="I233" s="2" t="s">
        <v>263</v>
      </c>
      <c r="J233" s="2" t="s">
        <v>206</v>
      </c>
      <c r="K233" s="2" t="s">
        <v>244</v>
      </c>
      <c r="L233" s="2" t="s">
        <v>335</v>
      </c>
      <c r="M233" s="2" t="s">
        <v>437</v>
      </c>
    </row>
    <row r="234" spans="1:13">
      <c r="A234" s="96" t="s">
        <v>891</v>
      </c>
      <c r="B234" s="2" t="s">
        <v>505</v>
      </c>
      <c r="C234" s="2" t="s">
        <v>440</v>
      </c>
      <c r="D234" s="2" t="s">
        <v>295</v>
      </c>
      <c r="E234" s="2" t="s">
        <v>121</v>
      </c>
      <c r="F234" s="2" t="s">
        <v>106</v>
      </c>
      <c r="G234" s="2" t="s">
        <v>110</v>
      </c>
      <c r="H234" s="2" t="s">
        <v>212</v>
      </c>
      <c r="I234" s="2" t="s">
        <v>264</v>
      </c>
      <c r="J234" s="2" t="s">
        <v>200</v>
      </c>
      <c r="K234" s="2" t="s">
        <v>119</v>
      </c>
      <c r="L234" s="2" t="s">
        <v>285</v>
      </c>
      <c r="M234" s="2" t="s">
        <v>450</v>
      </c>
    </row>
    <row r="235" spans="1:13">
      <c r="A235" s="96" t="s">
        <v>893</v>
      </c>
      <c r="B235" s="2" t="s">
        <v>459</v>
      </c>
      <c r="C235" s="2" t="s">
        <v>432</v>
      </c>
      <c r="D235" s="2" t="s">
        <v>276</v>
      </c>
      <c r="E235" s="2" t="s">
        <v>120</v>
      </c>
      <c r="F235" s="2" t="s">
        <v>147</v>
      </c>
      <c r="G235" s="2" t="s">
        <v>205</v>
      </c>
      <c r="H235" s="2" t="s">
        <v>207</v>
      </c>
      <c r="I235" s="2" t="s">
        <v>196</v>
      </c>
      <c r="J235" s="2" t="s">
        <v>148</v>
      </c>
      <c r="K235" s="2" t="s">
        <v>141</v>
      </c>
      <c r="L235" s="2" t="s">
        <v>311</v>
      </c>
      <c r="M235" s="2" t="s">
        <v>375</v>
      </c>
    </row>
    <row r="236" spans="1:13">
      <c r="A236" s="96" t="s">
        <v>895</v>
      </c>
      <c r="B236" s="2" t="s">
        <v>445</v>
      </c>
      <c r="C236" s="2" t="s">
        <v>430</v>
      </c>
      <c r="D236" s="2" t="s">
        <v>246</v>
      </c>
      <c r="E236" s="2" t="s">
        <v>111</v>
      </c>
      <c r="F236" s="2" t="s">
        <v>127</v>
      </c>
      <c r="G236" s="2" t="s">
        <v>147</v>
      </c>
      <c r="H236" s="2" t="s">
        <v>245</v>
      </c>
      <c r="I236" s="2" t="s">
        <v>207</v>
      </c>
      <c r="J236" s="2" t="s">
        <v>244</v>
      </c>
      <c r="K236" s="2" t="s">
        <v>144</v>
      </c>
      <c r="L236" s="2" t="s">
        <v>210</v>
      </c>
      <c r="M236" s="2" t="s">
        <v>425</v>
      </c>
    </row>
    <row r="237" spans="1:13">
      <c r="A237" s="96" t="s">
        <v>896</v>
      </c>
      <c r="B237" s="2" t="s">
        <v>439</v>
      </c>
      <c r="C237" s="2" t="s">
        <v>435</v>
      </c>
      <c r="D237" s="2" t="s">
        <v>211</v>
      </c>
      <c r="E237" s="2" t="s">
        <v>147</v>
      </c>
      <c r="F237" s="2" t="s">
        <v>104</v>
      </c>
      <c r="G237" s="2" t="s">
        <v>120</v>
      </c>
      <c r="H237" s="2" t="s">
        <v>207</v>
      </c>
      <c r="I237" s="2" t="s">
        <v>130</v>
      </c>
      <c r="J237" s="2" t="s">
        <v>200</v>
      </c>
      <c r="K237" s="2" t="s">
        <v>141</v>
      </c>
      <c r="L237" s="2" t="s">
        <v>274</v>
      </c>
      <c r="M237" s="2" t="s">
        <v>373</v>
      </c>
    </row>
    <row r="238" spans="1:13">
      <c r="A238" s="96" t="s">
        <v>897</v>
      </c>
      <c r="B238" s="2" t="s">
        <v>384</v>
      </c>
      <c r="C238" s="2" t="s">
        <v>363</v>
      </c>
      <c r="D238" s="2" t="s">
        <v>198</v>
      </c>
      <c r="E238" s="2" t="s">
        <v>282</v>
      </c>
      <c r="F238" s="2" t="s">
        <v>157</v>
      </c>
      <c r="G238" s="2" t="s">
        <v>123</v>
      </c>
      <c r="H238" s="2" t="s">
        <v>245</v>
      </c>
      <c r="I238" s="2" t="s">
        <v>248</v>
      </c>
      <c r="J238" s="2" t="s">
        <v>171</v>
      </c>
      <c r="K238" s="2" t="s">
        <v>131</v>
      </c>
      <c r="L238" s="2" t="s">
        <v>210</v>
      </c>
      <c r="M238" s="2" t="s">
        <v>434</v>
      </c>
    </row>
    <row r="239" spans="1:13">
      <c r="A239" s="96" t="s">
        <v>898</v>
      </c>
      <c r="B239" s="2" t="s">
        <v>428</v>
      </c>
      <c r="C239" s="2" t="s">
        <v>363</v>
      </c>
      <c r="D239" s="2" t="s">
        <v>198</v>
      </c>
      <c r="E239" s="2" t="s">
        <v>104</v>
      </c>
      <c r="F239" s="2" t="s">
        <v>307</v>
      </c>
      <c r="G239" s="2" t="s">
        <v>106</v>
      </c>
      <c r="H239" s="2" t="s">
        <v>206</v>
      </c>
      <c r="I239" s="2" t="s">
        <v>213</v>
      </c>
      <c r="J239" s="2" t="s">
        <v>148</v>
      </c>
      <c r="K239" s="2" t="s">
        <v>145</v>
      </c>
      <c r="L239" s="2" t="s">
        <v>274</v>
      </c>
      <c r="M239" s="2" t="s">
        <v>373</v>
      </c>
    </row>
    <row r="240" spans="1:13">
      <c r="A240" s="96" t="s">
        <v>900</v>
      </c>
      <c r="B240" s="2" t="s">
        <v>464</v>
      </c>
      <c r="C240" s="2" t="s">
        <v>456</v>
      </c>
      <c r="D240" s="2" t="s">
        <v>247</v>
      </c>
      <c r="E240" s="2" t="s">
        <v>282</v>
      </c>
      <c r="F240" s="2" t="s">
        <v>283</v>
      </c>
      <c r="G240" s="2" t="s">
        <v>123</v>
      </c>
      <c r="H240" s="2" t="s">
        <v>150</v>
      </c>
      <c r="I240" s="2" t="s">
        <v>207</v>
      </c>
      <c r="J240" s="2" t="s">
        <v>209</v>
      </c>
      <c r="K240" s="2" t="s">
        <v>112</v>
      </c>
      <c r="L240" s="2" t="s">
        <v>210</v>
      </c>
      <c r="M240" s="2" t="s">
        <v>434</v>
      </c>
    </row>
    <row r="241" spans="1:13">
      <c r="A241" s="96" t="s">
        <v>901</v>
      </c>
      <c r="B241" s="2" t="s">
        <v>453</v>
      </c>
      <c r="C241" s="2" t="s">
        <v>455</v>
      </c>
      <c r="D241" s="2" t="s">
        <v>255</v>
      </c>
      <c r="E241" s="2" t="s">
        <v>127</v>
      </c>
      <c r="F241" s="2" t="s">
        <v>282</v>
      </c>
      <c r="G241" s="2" t="s">
        <v>147</v>
      </c>
      <c r="H241" s="2" t="s">
        <v>245</v>
      </c>
      <c r="I241" s="2" t="s">
        <v>248</v>
      </c>
      <c r="J241" s="2" t="s">
        <v>244</v>
      </c>
      <c r="K241" s="2" t="s">
        <v>144</v>
      </c>
      <c r="L241" s="2" t="s">
        <v>210</v>
      </c>
      <c r="M241" s="2" t="s">
        <v>458</v>
      </c>
    </row>
    <row r="242" spans="1:13">
      <c r="A242" s="96" t="s">
        <v>902</v>
      </c>
      <c r="B242" s="2" t="s">
        <v>380</v>
      </c>
      <c r="C242" s="2" t="s">
        <v>381</v>
      </c>
      <c r="D242" s="2" t="s">
        <v>221</v>
      </c>
      <c r="E242" s="2" t="s">
        <v>106</v>
      </c>
      <c r="F242" s="2" t="s">
        <v>147</v>
      </c>
      <c r="G242" s="2" t="s">
        <v>121</v>
      </c>
      <c r="H242" s="2" t="s">
        <v>207</v>
      </c>
      <c r="I242" s="2" t="s">
        <v>130</v>
      </c>
      <c r="J242" s="2" t="s">
        <v>208</v>
      </c>
      <c r="K242" s="2" t="s">
        <v>141</v>
      </c>
      <c r="L242" s="2" t="s">
        <v>311</v>
      </c>
      <c r="M242" s="2" t="s">
        <v>364</v>
      </c>
    </row>
    <row r="243" spans="1:13">
      <c r="A243" s="96" t="s">
        <v>903</v>
      </c>
      <c r="B243" s="2" t="s">
        <v>377</v>
      </c>
      <c r="C243" s="2" t="s">
        <v>363</v>
      </c>
      <c r="D243" s="2" t="s">
        <v>220</v>
      </c>
      <c r="E243" s="2" t="s">
        <v>123</v>
      </c>
      <c r="F243" s="2" t="s">
        <v>104</v>
      </c>
      <c r="G243" s="2" t="s">
        <v>106</v>
      </c>
      <c r="H243" s="2" t="s">
        <v>206</v>
      </c>
      <c r="I243" s="2" t="s">
        <v>212</v>
      </c>
      <c r="J243" s="2" t="s">
        <v>168</v>
      </c>
      <c r="K243" s="2" t="s">
        <v>173</v>
      </c>
      <c r="L243" s="2" t="s">
        <v>294</v>
      </c>
      <c r="M243" s="2" t="s">
        <v>375</v>
      </c>
    </row>
    <row r="244" spans="1:13">
      <c r="A244" s="96" t="s">
        <v>905</v>
      </c>
      <c r="B244" s="2" t="s">
        <v>453</v>
      </c>
      <c r="C244" s="2" t="s">
        <v>455</v>
      </c>
      <c r="D244" s="2" t="s">
        <v>255</v>
      </c>
      <c r="E244" s="2" t="s">
        <v>307</v>
      </c>
      <c r="F244" s="2" t="s">
        <v>127</v>
      </c>
      <c r="G244" s="2" t="s">
        <v>147</v>
      </c>
      <c r="H244" s="2" t="s">
        <v>166</v>
      </c>
      <c r="I244" s="2" t="s">
        <v>248</v>
      </c>
      <c r="J244" s="2" t="s">
        <v>171</v>
      </c>
      <c r="K244" s="2" t="s">
        <v>131</v>
      </c>
      <c r="L244" s="2" t="s">
        <v>274</v>
      </c>
      <c r="M244" s="2" t="s">
        <v>369</v>
      </c>
    </row>
    <row r="245" spans="1:13">
      <c r="A245" s="96" t="s">
        <v>906</v>
      </c>
      <c r="B245" s="2" t="s">
        <v>429</v>
      </c>
      <c r="C245" s="2" t="s">
        <v>372</v>
      </c>
      <c r="D245" s="2" t="s">
        <v>135</v>
      </c>
      <c r="E245" s="2" t="s">
        <v>111</v>
      </c>
      <c r="F245" s="2" t="s">
        <v>307</v>
      </c>
      <c r="G245" s="2" t="s">
        <v>106</v>
      </c>
      <c r="H245" s="2" t="s">
        <v>206</v>
      </c>
      <c r="I245" s="2" t="s">
        <v>213</v>
      </c>
      <c r="J245" s="2" t="s">
        <v>148</v>
      </c>
      <c r="K245" s="2" t="s">
        <v>145</v>
      </c>
      <c r="L245" s="2" t="s">
        <v>294</v>
      </c>
      <c r="M245" s="2" t="s">
        <v>375</v>
      </c>
    </row>
    <row r="246" spans="1:13">
      <c r="A246" s="96" t="s">
        <v>908</v>
      </c>
      <c r="B246" s="2" t="s">
        <v>377</v>
      </c>
      <c r="C246" s="2" t="s">
        <v>363</v>
      </c>
      <c r="D246" s="2" t="s">
        <v>198</v>
      </c>
      <c r="E246" s="2" t="s">
        <v>111</v>
      </c>
      <c r="F246" s="2" t="s">
        <v>104</v>
      </c>
      <c r="G246" s="2" t="s">
        <v>106</v>
      </c>
      <c r="H246" s="2" t="s">
        <v>166</v>
      </c>
      <c r="I246" s="2" t="s">
        <v>248</v>
      </c>
      <c r="J246" s="2" t="s">
        <v>171</v>
      </c>
      <c r="K246" s="2" t="s">
        <v>144</v>
      </c>
      <c r="L246" s="2" t="s">
        <v>293</v>
      </c>
      <c r="M246" s="2" t="s">
        <v>425</v>
      </c>
    </row>
    <row r="247" spans="1:13">
      <c r="A247" s="96" t="s">
        <v>909</v>
      </c>
      <c r="B247" s="2" t="s">
        <v>432</v>
      </c>
      <c r="C247" s="2" t="s">
        <v>414</v>
      </c>
      <c r="D247" s="2" t="s">
        <v>191</v>
      </c>
      <c r="E247" s="2" t="s">
        <v>140</v>
      </c>
      <c r="F247" s="2" t="s">
        <v>123</v>
      </c>
      <c r="G247" s="2" t="s">
        <v>205</v>
      </c>
      <c r="H247" s="2" t="s">
        <v>218</v>
      </c>
      <c r="I247" s="2" t="s">
        <v>196</v>
      </c>
      <c r="J247" s="2" t="s">
        <v>148</v>
      </c>
      <c r="K247" s="2" t="s">
        <v>145</v>
      </c>
      <c r="L247" s="2" t="s">
        <v>274</v>
      </c>
      <c r="M247" s="2" t="s">
        <v>373</v>
      </c>
    </row>
    <row r="248" spans="1:13">
      <c r="A248" s="96" t="s">
        <v>910</v>
      </c>
      <c r="B248" s="2" t="s">
        <v>676</v>
      </c>
      <c r="C248" s="2" t="s">
        <v>435</v>
      </c>
      <c r="D248" s="2" t="s">
        <v>253</v>
      </c>
      <c r="E248" s="2" t="s">
        <v>106</v>
      </c>
      <c r="F248" s="2" t="s">
        <v>147</v>
      </c>
      <c r="G248" s="2" t="s">
        <v>121</v>
      </c>
      <c r="H248" s="2" t="s">
        <v>207</v>
      </c>
      <c r="I248" s="2" t="s">
        <v>196</v>
      </c>
      <c r="J248" s="2" t="s">
        <v>148</v>
      </c>
      <c r="K248" s="2" t="s">
        <v>141</v>
      </c>
      <c r="L248" s="2" t="s">
        <v>294</v>
      </c>
      <c r="M248" s="2" t="s">
        <v>369</v>
      </c>
    </row>
    <row r="249" spans="1:13">
      <c r="A249" s="96" t="s">
        <v>911</v>
      </c>
      <c r="B249" s="2" t="s">
        <v>428</v>
      </c>
      <c r="C249" s="2" t="s">
        <v>363</v>
      </c>
      <c r="D249" s="2" t="s">
        <v>201</v>
      </c>
      <c r="E249" s="2" t="s">
        <v>127</v>
      </c>
      <c r="F249" s="2" t="s">
        <v>283</v>
      </c>
      <c r="G249" s="2" t="s">
        <v>123</v>
      </c>
      <c r="H249" s="2" t="s">
        <v>150</v>
      </c>
      <c r="I249" s="2" t="s">
        <v>218</v>
      </c>
      <c r="J249" s="2" t="s">
        <v>222</v>
      </c>
      <c r="K249" s="2" t="s">
        <v>112</v>
      </c>
      <c r="L249" s="2" t="s">
        <v>293</v>
      </c>
      <c r="M249" s="2" t="s">
        <v>425</v>
      </c>
    </row>
    <row r="250" spans="1:13">
      <c r="A250" s="96" t="s">
        <v>912</v>
      </c>
      <c r="B250" s="2" t="s">
        <v>380</v>
      </c>
      <c r="C250" s="2" t="s">
        <v>381</v>
      </c>
      <c r="D250" s="2" t="s">
        <v>191</v>
      </c>
      <c r="E250" s="2" t="s">
        <v>127</v>
      </c>
      <c r="F250" s="2" t="s">
        <v>282</v>
      </c>
      <c r="G250" s="2" t="s">
        <v>123</v>
      </c>
      <c r="H250" s="2" t="s">
        <v>150</v>
      </c>
      <c r="I250" s="2" t="s">
        <v>218</v>
      </c>
      <c r="J250" s="2" t="s">
        <v>209</v>
      </c>
      <c r="K250" s="2" t="s">
        <v>112</v>
      </c>
      <c r="L250" s="2" t="s">
        <v>293</v>
      </c>
      <c r="M250" s="2" t="s">
        <v>425</v>
      </c>
    </row>
    <row r="251" spans="1:13">
      <c r="A251" s="96" t="s">
        <v>913</v>
      </c>
      <c r="B251" s="2" t="s">
        <v>676</v>
      </c>
      <c r="C251" s="2" t="s">
        <v>433</v>
      </c>
      <c r="D251" s="2" t="s">
        <v>122</v>
      </c>
      <c r="E251" s="2" t="s">
        <v>123</v>
      </c>
      <c r="F251" s="2" t="s">
        <v>104</v>
      </c>
      <c r="G251" s="2" t="s">
        <v>106</v>
      </c>
      <c r="H251" s="2" t="s">
        <v>166</v>
      </c>
      <c r="I251" s="2" t="s">
        <v>212</v>
      </c>
      <c r="J251" s="2" t="s">
        <v>171</v>
      </c>
      <c r="K251" s="2" t="s">
        <v>131</v>
      </c>
      <c r="L251" s="2" t="s">
        <v>274</v>
      </c>
      <c r="M251" s="2" t="s">
        <v>369</v>
      </c>
    </row>
    <row r="252" spans="1:13">
      <c r="A252" s="96" t="s">
        <v>914</v>
      </c>
      <c r="B252" s="2" t="s">
        <v>633</v>
      </c>
      <c r="C252" s="2" t="s">
        <v>428</v>
      </c>
      <c r="D252" s="2" t="s">
        <v>341</v>
      </c>
      <c r="E252" s="2" t="s">
        <v>205</v>
      </c>
      <c r="F252" s="2" t="s">
        <v>106</v>
      </c>
      <c r="G252" s="2" t="s">
        <v>110</v>
      </c>
      <c r="H252" s="2" t="s">
        <v>212</v>
      </c>
      <c r="I252" s="2" t="s">
        <v>223</v>
      </c>
      <c r="J252" s="2" t="s">
        <v>150</v>
      </c>
      <c r="K252" s="2" t="s">
        <v>119</v>
      </c>
      <c r="L252" s="2" t="s">
        <v>306</v>
      </c>
      <c r="M252" s="2" t="s">
        <v>388</v>
      </c>
    </row>
    <row r="253" spans="1:13">
      <c r="A253" s="96" t="s">
        <v>915</v>
      </c>
      <c r="B253" s="2" t="s">
        <v>633</v>
      </c>
      <c r="C253" s="2" t="s">
        <v>428</v>
      </c>
      <c r="D253" s="2" t="s">
        <v>250</v>
      </c>
      <c r="E253" s="2" t="s">
        <v>205</v>
      </c>
      <c r="F253" s="2" t="s">
        <v>120</v>
      </c>
      <c r="G253" s="2" t="s">
        <v>143</v>
      </c>
      <c r="H253" s="2" t="s">
        <v>213</v>
      </c>
      <c r="I253" s="2" t="s">
        <v>152</v>
      </c>
      <c r="J253" s="2" t="s">
        <v>150</v>
      </c>
      <c r="K253" s="2" t="s">
        <v>202</v>
      </c>
      <c r="L253" s="2" t="s">
        <v>303</v>
      </c>
      <c r="M253" s="2" t="s">
        <v>454</v>
      </c>
    </row>
    <row r="254" spans="1:13">
      <c r="A254" s="96" t="s">
        <v>916</v>
      </c>
      <c r="B254" s="2" t="s">
        <v>447</v>
      </c>
      <c r="C254" s="2" t="s">
        <v>449</v>
      </c>
      <c r="D254" s="2" t="s">
        <v>241</v>
      </c>
      <c r="E254" s="2" t="s">
        <v>140</v>
      </c>
      <c r="F254" s="2" t="s">
        <v>123</v>
      </c>
      <c r="G254" s="2" t="s">
        <v>121</v>
      </c>
      <c r="H254" s="2" t="s">
        <v>207</v>
      </c>
      <c r="I254" s="2" t="s">
        <v>196</v>
      </c>
      <c r="J254" s="2" t="s">
        <v>148</v>
      </c>
      <c r="K254" s="2" t="s">
        <v>145</v>
      </c>
      <c r="L254" s="2" t="s">
        <v>306</v>
      </c>
      <c r="M254" s="2" t="s">
        <v>403</v>
      </c>
    </row>
    <row r="255" spans="1:13">
      <c r="A255" s="96" t="s">
        <v>917</v>
      </c>
      <c r="B255" s="2" t="s">
        <v>453</v>
      </c>
      <c r="C255" s="2" t="s">
        <v>372</v>
      </c>
      <c r="D255" s="2" t="s">
        <v>258</v>
      </c>
      <c r="E255" s="2" t="s">
        <v>123</v>
      </c>
      <c r="F255" s="2" t="s">
        <v>104</v>
      </c>
      <c r="G255" s="2" t="s">
        <v>120</v>
      </c>
      <c r="H255" s="2" t="s">
        <v>206</v>
      </c>
      <c r="I255" s="2" t="s">
        <v>248</v>
      </c>
      <c r="J255" s="2" t="s">
        <v>244</v>
      </c>
      <c r="K255" s="2" t="s">
        <v>144</v>
      </c>
      <c r="L255" s="2" t="s">
        <v>210</v>
      </c>
      <c r="M255" s="2" t="s">
        <v>373</v>
      </c>
    </row>
    <row r="256" spans="1:13">
      <c r="A256" s="96" t="s">
        <v>918</v>
      </c>
      <c r="B256" s="2" t="s">
        <v>412</v>
      </c>
      <c r="C256" s="2" t="s">
        <v>403</v>
      </c>
      <c r="D256" s="2" t="s">
        <v>253</v>
      </c>
      <c r="E256" s="2" t="s">
        <v>283</v>
      </c>
      <c r="F256" s="2" t="s">
        <v>108</v>
      </c>
      <c r="G256" s="2" t="s">
        <v>104</v>
      </c>
      <c r="H256" s="2" t="s">
        <v>208</v>
      </c>
      <c r="I256" s="2" t="s">
        <v>245</v>
      </c>
      <c r="J256" s="2" t="s">
        <v>141</v>
      </c>
      <c r="K256" s="2" t="s">
        <v>203</v>
      </c>
      <c r="L256" s="2" t="s">
        <v>177</v>
      </c>
      <c r="M256" s="2" t="s">
        <v>416</v>
      </c>
    </row>
    <row r="257" spans="1:13">
      <c r="A257" s="96" t="s">
        <v>919</v>
      </c>
      <c r="B257" s="2" t="s">
        <v>429</v>
      </c>
      <c r="C257" s="2" t="s">
        <v>368</v>
      </c>
      <c r="D257" s="2" t="s">
        <v>241</v>
      </c>
      <c r="E257" s="2" t="s">
        <v>140</v>
      </c>
      <c r="F257" s="2" t="s">
        <v>111</v>
      </c>
      <c r="G257" s="2" t="s">
        <v>120</v>
      </c>
      <c r="H257" s="2" t="s">
        <v>166</v>
      </c>
      <c r="I257" s="2" t="s">
        <v>248</v>
      </c>
      <c r="J257" s="2" t="s">
        <v>244</v>
      </c>
      <c r="K257" s="2" t="s">
        <v>144</v>
      </c>
      <c r="L257" s="2" t="s">
        <v>276</v>
      </c>
      <c r="M257" s="2" t="s">
        <v>425</v>
      </c>
    </row>
    <row r="258" spans="1:13">
      <c r="A258" s="96" t="s">
        <v>920</v>
      </c>
      <c r="B258" s="2" t="s">
        <v>464</v>
      </c>
      <c r="C258" s="2" t="s">
        <v>455</v>
      </c>
      <c r="D258" s="2" t="s">
        <v>259</v>
      </c>
      <c r="E258" s="2" t="s">
        <v>104</v>
      </c>
      <c r="F258" s="2" t="s">
        <v>127</v>
      </c>
      <c r="G258" s="2" t="s">
        <v>142</v>
      </c>
      <c r="H258" s="2" t="s">
        <v>150</v>
      </c>
      <c r="I258" s="2" t="s">
        <v>218</v>
      </c>
      <c r="J258" s="2" t="s">
        <v>209</v>
      </c>
      <c r="K258" s="2" t="s">
        <v>112</v>
      </c>
      <c r="L258" s="2" t="s">
        <v>293</v>
      </c>
      <c r="M258" s="2" t="s">
        <v>458</v>
      </c>
    </row>
    <row r="259" spans="1:13">
      <c r="A259" s="96" t="s">
        <v>921</v>
      </c>
      <c r="B259" s="2" t="s">
        <v>401</v>
      </c>
      <c r="C259" s="2" t="s">
        <v>450</v>
      </c>
      <c r="D259" s="2" t="s">
        <v>257</v>
      </c>
      <c r="E259" s="2" t="s">
        <v>125</v>
      </c>
      <c r="F259" s="2" t="s">
        <v>280</v>
      </c>
      <c r="G259" s="2" t="s">
        <v>147</v>
      </c>
      <c r="H259" s="2" t="s">
        <v>168</v>
      </c>
      <c r="I259" s="2" t="s">
        <v>150</v>
      </c>
      <c r="J259" s="2" t="s">
        <v>145</v>
      </c>
      <c r="K259" s="2" t="s">
        <v>243</v>
      </c>
      <c r="L259" s="2" t="s">
        <v>341</v>
      </c>
      <c r="M259" s="2" t="s">
        <v>434</v>
      </c>
    </row>
    <row r="260" spans="1:13">
      <c r="A260" s="96" t="s">
        <v>922</v>
      </c>
      <c r="B260" s="2" t="s">
        <v>368</v>
      </c>
      <c r="C260" s="2" t="s">
        <v>364</v>
      </c>
      <c r="D260" s="2" t="s">
        <v>201</v>
      </c>
      <c r="E260" s="2" t="s">
        <v>114</v>
      </c>
      <c r="F260" s="2" t="s">
        <v>271</v>
      </c>
      <c r="G260" s="2" t="s">
        <v>111</v>
      </c>
      <c r="H260" s="2" t="s">
        <v>209</v>
      </c>
      <c r="I260" s="2" t="s">
        <v>148</v>
      </c>
      <c r="J260" s="2" t="s">
        <v>131</v>
      </c>
      <c r="K260" s="2" t="s">
        <v>204</v>
      </c>
      <c r="L260" s="2" t="s">
        <v>134</v>
      </c>
      <c r="M260" s="2" t="s">
        <v>339</v>
      </c>
    </row>
    <row r="261" spans="1:13">
      <c r="A261" s="96" t="s">
        <v>923</v>
      </c>
      <c r="B261" s="2" t="s">
        <v>359</v>
      </c>
      <c r="C261" s="2" t="s">
        <v>425</v>
      </c>
      <c r="D261" s="2" t="s">
        <v>135</v>
      </c>
      <c r="E261" s="2" t="s">
        <v>281</v>
      </c>
      <c r="F261" s="2" t="s">
        <v>117</v>
      </c>
      <c r="G261" s="2" t="s">
        <v>127</v>
      </c>
      <c r="H261" s="2" t="s">
        <v>202</v>
      </c>
      <c r="I261" s="2" t="s">
        <v>171</v>
      </c>
      <c r="J261" s="2" t="s">
        <v>112</v>
      </c>
      <c r="K261" s="2" t="s">
        <v>226</v>
      </c>
      <c r="L261" s="2" t="s">
        <v>254</v>
      </c>
      <c r="M261" s="2" t="s">
        <v>409</v>
      </c>
    </row>
    <row r="262" spans="1:13">
      <c r="A262" s="96" t="s">
        <v>924</v>
      </c>
      <c r="B262" s="2" t="s">
        <v>413</v>
      </c>
      <c r="C262" s="2" t="s">
        <v>404</v>
      </c>
      <c r="D262" s="2" t="s">
        <v>255</v>
      </c>
      <c r="E262" s="2" t="s">
        <v>270</v>
      </c>
      <c r="F262" s="2" t="s">
        <v>117</v>
      </c>
      <c r="G262" s="2" t="s">
        <v>307</v>
      </c>
      <c r="H262" s="2" t="s">
        <v>222</v>
      </c>
      <c r="I262" s="2" t="s">
        <v>168</v>
      </c>
      <c r="J262" s="2" t="s">
        <v>112</v>
      </c>
      <c r="K262" s="2" t="s">
        <v>118</v>
      </c>
      <c r="L262" s="2" t="s">
        <v>254</v>
      </c>
      <c r="M262" s="2" t="s">
        <v>409</v>
      </c>
    </row>
    <row r="263" spans="1:13">
      <c r="A263" s="96" t="s">
        <v>925</v>
      </c>
      <c r="B263" s="2" t="s">
        <v>454</v>
      </c>
      <c r="C263" s="2" t="s">
        <v>434</v>
      </c>
      <c r="D263" s="2" t="s">
        <v>255</v>
      </c>
      <c r="E263" s="2" t="s">
        <v>114</v>
      </c>
      <c r="F263" s="2" t="s">
        <v>271</v>
      </c>
      <c r="G263" s="2" t="s">
        <v>123</v>
      </c>
      <c r="H263" s="2" t="s">
        <v>244</v>
      </c>
      <c r="I263" s="2" t="s">
        <v>200</v>
      </c>
      <c r="J263" s="2" t="s">
        <v>173</v>
      </c>
      <c r="K263" s="2" t="s">
        <v>261</v>
      </c>
      <c r="L263" s="2" t="s">
        <v>254</v>
      </c>
      <c r="M263" s="2" t="s">
        <v>409</v>
      </c>
    </row>
    <row r="264" spans="1:13">
      <c r="A264" s="96" t="s">
        <v>926</v>
      </c>
      <c r="B264" s="2" t="s">
        <v>456</v>
      </c>
      <c r="C264" s="2" t="s">
        <v>434</v>
      </c>
      <c r="D264" s="2" t="s">
        <v>252</v>
      </c>
      <c r="E264" s="2" t="s">
        <v>108</v>
      </c>
      <c r="F264" s="2" t="s">
        <v>114</v>
      </c>
      <c r="G264" s="2" t="s">
        <v>147</v>
      </c>
      <c r="H264" s="2" t="s">
        <v>171</v>
      </c>
      <c r="I264" s="2" t="s">
        <v>150</v>
      </c>
      <c r="J264" s="2" t="s">
        <v>173</v>
      </c>
      <c r="K264" s="2" t="s">
        <v>243</v>
      </c>
      <c r="L264" s="2" t="s">
        <v>241</v>
      </c>
      <c r="M264" s="2" t="s">
        <v>339</v>
      </c>
    </row>
    <row r="265" spans="1:13">
      <c r="A265" s="76" t="s">
        <v>8</v>
      </c>
      <c r="B265" s="2" t="s">
        <v>177</v>
      </c>
      <c r="C265" s="2" t="s">
        <v>122</v>
      </c>
      <c r="D265" s="2" t="s">
        <v>178</v>
      </c>
      <c r="E265" s="2" t="s">
        <v>209</v>
      </c>
      <c r="F265" s="2" t="s">
        <v>202</v>
      </c>
      <c r="G265" s="2" t="s">
        <v>245</v>
      </c>
      <c r="H265" s="2" t="s">
        <v>264</v>
      </c>
      <c r="I265" s="2" t="s">
        <v>262</v>
      </c>
      <c r="J265" s="2" t="s">
        <v>152</v>
      </c>
      <c r="K265" s="2" t="s">
        <v>126</v>
      </c>
      <c r="L265" s="2" t="s">
        <v>241</v>
      </c>
      <c r="M265" s="2" t="s">
        <v>334</v>
      </c>
    </row>
    <row r="266" spans="1:13">
      <c r="A266" s="96" t="s">
        <v>824</v>
      </c>
      <c r="B266" s="2" t="s">
        <v>249</v>
      </c>
      <c r="C266" s="2" t="s">
        <v>220</v>
      </c>
      <c r="D266" s="2" t="s">
        <v>264</v>
      </c>
      <c r="E266" s="2" t="s">
        <v>169</v>
      </c>
      <c r="F266" s="2" t="s">
        <v>169</v>
      </c>
      <c r="G266" s="2" t="s">
        <v>244</v>
      </c>
      <c r="H266" s="2" t="s">
        <v>248</v>
      </c>
      <c r="I266" s="2" t="s">
        <v>130</v>
      </c>
      <c r="J266" s="2" t="s">
        <v>213</v>
      </c>
      <c r="K266" s="2" t="s">
        <v>260</v>
      </c>
      <c r="L266" s="2" t="s">
        <v>254</v>
      </c>
      <c r="M266" s="2" t="s">
        <v>334</v>
      </c>
    </row>
    <row r="267" spans="1:13">
      <c r="A267" s="96" t="s">
        <v>826</v>
      </c>
      <c r="B267" s="2" t="s">
        <v>241</v>
      </c>
      <c r="C267" s="2" t="s">
        <v>249</v>
      </c>
      <c r="D267" s="2" t="s">
        <v>260</v>
      </c>
      <c r="E267" s="2" t="s">
        <v>141</v>
      </c>
      <c r="F267" s="2" t="s">
        <v>141</v>
      </c>
      <c r="G267" s="2" t="s">
        <v>200</v>
      </c>
      <c r="H267" s="2" t="s">
        <v>130</v>
      </c>
      <c r="I267" s="2" t="s">
        <v>263</v>
      </c>
      <c r="J267" s="2" t="s">
        <v>223</v>
      </c>
      <c r="K267" s="2" t="s">
        <v>126</v>
      </c>
      <c r="L267" s="2" t="s">
        <v>177</v>
      </c>
      <c r="M267" s="2" t="s">
        <v>322</v>
      </c>
    </row>
    <row r="268" spans="1:13">
      <c r="A268" s="96" t="s">
        <v>828</v>
      </c>
      <c r="B268" s="2" t="s">
        <v>273</v>
      </c>
      <c r="C268" s="2" t="s">
        <v>170</v>
      </c>
      <c r="D268" s="2" t="s">
        <v>126</v>
      </c>
      <c r="E268" s="2" t="s">
        <v>119</v>
      </c>
      <c r="F268" s="2" t="s">
        <v>141</v>
      </c>
      <c r="G268" s="2" t="s">
        <v>200</v>
      </c>
      <c r="H268" s="2" t="s">
        <v>264</v>
      </c>
      <c r="I268" s="2" t="s">
        <v>228</v>
      </c>
      <c r="J268" s="2" t="s">
        <v>152</v>
      </c>
      <c r="K268" s="2" t="s">
        <v>192</v>
      </c>
      <c r="L268" s="2" t="s">
        <v>177</v>
      </c>
      <c r="M268" s="2" t="s">
        <v>322</v>
      </c>
    </row>
    <row r="269" spans="1:13">
      <c r="A269" s="96" t="s">
        <v>830</v>
      </c>
      <c r="B269" s="2" t="s">
        <v>341</v>
      </c>
      <c r="C269" s="2" t="s">
        <v>170</v>
      </c>
      <c r="D269" s="2" t="s">
        <v>126</v>
      </c>
      <c r="E269" s="2" t="s">
        <v>222</v>
      </c>
      <c r="F269" s="2" t="s">
        <v>202</v>
      </c>
      <c r="G269" s="2" t="s">
        <v>245</v>
      </c>
      <c r="H269" s="2" t="s">
        <v>223</v>
      </c>
      <c r="I269" s="2" t="s">
        <v>228</v>
      </c>
      <c r="J269" s="2" t="s">
        <v>152</v>
      </c>
      <c r="K269" s="2" t="s">
        <v>126</v>
      </c>
      <c r="L269" s="2" t="s">
        <v>177</v>
      </c>
      <c r="M269" s="2" t="s">
        <v>322</v>
      </c>
    </row>
    <row r="270" spans="1:13">
      <c r="A270" s="96" t="s">
        <v>834</v>
      </c>
      <c r="B270" s="2" t="s">
        <v>170</v>
      </c>
      <c r="C270" s="2" t="s">
        <v>257</v>
      </c>
      <c r="D270" s="2" t="s">
        <v>263</v>
      </c>
      <c r="E270" s="2" t="s">
        <v>131</v>
      </c>
      <c r="F270" s="2" t="s">
        <v>131</v>
      </c>
      <c r="G270" s="2" t="s">
        <v>168</v>
      </c>
      <c r="H270" s="2" t="s">
        <v>213</v>
      </c>
      <c r="I270" s="2" t="s">
        <v>223</v>
      </c>
      <c r="J270" s="2" t="s">
        <v>130</v>
      </c>
      <c r="K270" s="2" t="s">
        <v>260</v>
      </c>
      <c r="L270" s="2" t="s">
        <v>241</v>
      </c>
      <c r="M270" s="2" t="s">
        <v>327</v>
      </c>
    </row>
    <row r="271" spans="1:13">
      <c r="A271" s="96" t="s">
        <v>836</v>
      </c>
      <c r="B271" s="2" t="s">
        <v>250</v>
      </c>
      <c r="C271" s="2" t="s">
        <v>170</v>
      </c>
      <c r="D271" s="2" t="s">
        <v>192</v>
      </c>
      <c r="E271" s="2" t="s">
        <v>119</v>
      </c>
      <c r="F271" s="2" t="s">
        <v>141</v>
      </c>
      <c r="G271" s="2" t="s">
        <v>200</v>
      </c>
      <c r="H271" s="2" t="s">
        <v>130</v>
      </c>
      <c r="I271" s="2" t="s">
        <v>263</v>
      </c>
      <c r="J271" s="2" t="s">
        <v>223</v>
      </c>
      <c r="K271" s="2" t="s">
        <v>126</v>
      </c>
      <c r="L271" s="2" t="s">
        <v>177</v>
      </c>
      <c r="M271" s="2" t="s">
        <v>322</v>
      </c>
    </row>
    <row r="272" spans="1:13">
      <c r="A272" s="96" t="s">
        <v>839</v>
      </c>
      <c r="B272" s="2" t="s">
        <v>295</v>
      </c>
      <c r="C272" s="2" t="s">
        <v>134</v>
      </c>
      <c r="D272" s="2" t="s">
        <v>214</v>
      </c>
      <c r="E272" s="2" t="s">
        <v>209</v>
      </c>
      <c r="F272" s="2" t="s">
        <v>222</v>
      </c>
      <c r="G272" s="2" t="s">
        <v>166</v>
      </c>
      <c r="H272" s="2" t="s">
        <v>152</v>
      </c>
      <c r="I272" s="2" t="s">
        <v>262</v>
      </c>
      <c r="J272" s="2" t="s">
        <v>263</v>
      </c>
      <c r="K272" s="2" t="s">
        <v>178</v>
      </c>
      <c r="L272" s="2" t="s">
        <v>341</v>
      </c>
      <c r="M272" s="2" t="s">
        <v>297</v>
      </c>
    </row>
    <row r="273" spans="1:13">
      <c r="A273" s="96" t="s">
        <v>841</v>
      </c>
      <c r="B273" s="2" t="s">
        <v>177</v>
      </c>
      <c r="C273" s="2" t="s">
        <v>246</v>
      </c>
      <c r="D273" s="2" t="s">
        <v>192</v>
      </c>
      <c r="E273" s="2" t="s">
        <v>202</v>
      </c>
      <c r="F273" s="2" t="s">
        <v>141</v>
      </c>
      <c r="G273" s="2" t="s">
        <v>200</v>
      </c>
      <c r="H273" s="2" t="s">
        <v>130</v>
      </c>
      <c r="I273" s="2" t="s">
        <v>263</v>
      </c>
      <c r="J273" s="2" t="s">
        <v>223</v>
      </c>
      <c r="K273" s="2" t="s">
        <v>219</v>
      </c>
      <c r="L273" s="2" t="s">
        <v>177</v>
      </c>
      <c r="M273" s="2" t="s">
        <v>319</v>
      </c>
    </row>
    <row r="274" spans="1:13">
      <c r="A274" s="96" t="s">
        <v>842</v>
      </c>
      <c r="B274" s="2" t="s">
        <v>241</v>
      </c>
      <c r="C274" s="2" t="s">
        <v>217</v>
      </c>
      <c r="D274" s="2" t="s">
        <v>126</v>
      </c>
      <c r="E274" s="2" t="s">
        <v>141</v>
      </c>
      <c r="F274" s="2" t="s">
        <v>145</v>
      </c>
      <c r="G274" s="2" t="s">
        <v>208</v>
      </c>
      <c r="H274" s="2" t="s">
        <v>196</v>
      </c>
      <c r="I274" s="2" t="s">
        <v>152</v>
      </c>
      <c r="J274" s="2" t="s">
        <v>223</v>
      </c>
      <c r="K274" s="2" t="s">
        <v>219</v>
      </c>
      <c r="L274" s="2" t="s">
        <v>177</v>
      </c>
      <c r="M274" s="2" t="s">
        <v>319</v>
      </c>
    </row>
    <row r="275" spans="1:13">
      <c r="A275" s="96" t="s">
        <v>844</v>
      </c>
      <c r="B275" s="2" t="s">
        <v>293</v>
      </c>
      <c r="C275" s="2" t="s">
        <v>254</v>
      </c>
      <c r="D275" s="2" t="s">
        <v>167</v>
      </c>
      <c r="E275" s="2" t="s">
        <v>209</v>
      </c>
      <c r="F275" s="2" t="s">
        <v>222</v>
      </c>
      <c r="G275" s="2" t="s">
        <v>166</v>
      </c>
      <c r="H275" s="2" t="s">
        <v>223</v>
      </c>
      <c r="I275" s="2" t="s">
        <v>262</v>
      </c>
      <c r="J275" s="2" t="s">
        <v>263</v>
      </c>
      <c r="K275" s="2" t="s">
        <v>192</v>
      </c>
      <c r="L275" s="2" t="s">
        <v>273</v>
      </c>
      <c r="M275" s="2" t="s">
        <v>313</v>
      </c>
    </row>
    <row r="276" spans="1:13">
      <c r="A276" s="96" t="s">
        <v>847</v>
      </c>
      <c r="B276" s="2" t="s">
        <v>321</v>
      </c>
      <c r="C276" s="2" t="s">
        <v>276</v>
      </c>
      <c r="D276" s="2" t="s">
        <v>256</v>
      </c>
      <c r="E276" s="2" t="s">
        <v>208</v>
      </c>
      <c r="F276" s="2" t="s">
        <v>148</v>
      </c>
      <c r="G276" s="2" t="s">
        <v>248</v>
      </c>
      <c r="H276" s="2" t="s">
        <v>262</v>
      </c>
      <c r="I276" s="2" t="s">
        <v>219</v>
      </c>
      <c r="J276" s="2" t="s">
        <v>225</v>
      </c>
      <c r="K276" s="2" t="s">
        <v>214</v>
      </c>
      <c r="L276" s="2" t="s">
        <v>295</v>
      </c>
      <c r="M276" s="2" t="s">
        <v>365</v>
      </c>
    </row>
    <row r="277" spans="1:13">
      <c r="A277" s="96" t="s">
        <v>851</v>
      </c>
      <c r="B277" s="2" t="s">
        <v>294</v>
      </c>
      <c r="C277" s="2" t="s">
        <v>250</v>
      </c>
      <c r="D277" s="2" t="s">
        <v>227</v>
      </c>
      <c r="E277" s="2" t="s">
        <v>168</v>
      </c>
      <c r="F277" s="2" t="s">
        <v>171</v>
      </c>
      <c r="G277" s="2" t="s">
        <v>207</v>
      </c>
      <c r="H277" s="2" t="s">
        <v>263</v>
      </c>
      <c r="I277" s="2" t="s">
        <v>260</v>
      </c>
      <c r="J277" s="2" t="s">
        <v>262</v>
      </c>
      <c r="K277" s="2" t="s">
        <v>195</v>
      </c>
      <c r="L277" s="2" t="s">
        <v>293</v>
      </c>
      <c r="M277" s="2" t="s">
        <v>312</v>
      </c>
    </row>
    <row r="278" spans="1:13">
      <c r="A278" s="96" t="s">
        <v>852</v>
      </c>
      <c r="B278" s="2" t="s">
        <v>335</v>
      </c>
      <c r="C278" s="2" t="s">
        <v>295</v>
      </c>
      <c r="D278" s="2" t="s">
        <v>242</v>
      </c>
      <c r="E278" s="2" t="s">
        <v>150</v>
      </c>
      <c r="F278" s="2" t="s">
        <v>200</v>
      </c>
      <c r="G278" s="2" t="s">
        <v>213</v>
      </c>
      <c r="H278" s="2" t="s">
        <v>224</v>
      </c>
      <c r="I278" s="2" t="s">
        <v>126</v>
      </c>
      <c r="J278" s="2" t="s">
        <v>225</v>
      </c>
      <c r="K278" s="2" t="s">
        <v>227</v>
      </c>
      <c r="L278" s="2" t="s">
        <v>295</v>
      </c>
      <c r="M278" s="2" t="s">
        <v>312</v>
      </c>
    </row>
    <row r="279" spans="1:13">
      <c r="A279" s="96" t="s">
        <v>854</v>
      </c>
      <c r="B279" s="2" t="s">
        <v>321</v>
      </c>
      <c r="C279" s="2" t="s">
        <v>293</v>
      </c>
      <c r="D279" s="2" t="s">
        <v>215</v>
      </c>
      <c r="E279" s="2" t="s">
        <v>200</v>
      </c>
      <c r="F279" s="2" t="s">
        <v>208</v>
      </c>
      <c r="G279" s="2" t="s">
        <v>248</v>
      </c>
      <c r="H279" s="2" t="s">
        <v>262</v>
      </c>
      <c r="I279" s="2" t="s">
        <v>219</v>
      </c>
      <c r="J279" s="2" t="s">
        <v>260</v>
      </c>
      <c r="K279" s="2" t="s">
        <v>214</v>
      </c>
      <c r="L279" s="2" t="s">
        <v>210</v>
      </c>
      <c r="M279" s="2" t="s">
        <v>378</v>
      </c>
    </row>
    <row r="280" spans="1:13">
      <c r="A280" s="96" t="s">
        <v>856</v>
      </c>
      <c r="B280" s="2" t="s">
        <v>275</v>
      </c>
      <c r="C280" s="2" t="s">
        <v>285</v>
      </c>
      <c r="D280" s="2" t="s">
        <v>151</v>
      </c>
      <c r="E280" s="2" t="s">
        <v>207</v>
      </c>
      <c r="F280" s="2" t="s">
        <v>206</v>
      </c>
      <c r="G280" s="2" t="s">
        <v>264</v>
      </c>
      <c r="H280" s="2" t="s">
        <v>126</v>
      </c>
      <c r="I280" s="2" t="s">
        <v>199</v>
      </c>
      <c r="J280" s="2" t="s">
        <v>192</v>
      </c>
      <c r="K280" s="2" t="s">
        <v>256</v>
      </c>
      <c r="L280" s="2" t="s">
        <v>294</v>
      </c>
      <c r="M280" s="2" t="s">
        <v>350</v>
      </c>
    </row>
    <row r="281" spans="1:13">
      <c r="A281" s="96" t="s">
        <v>858</v>
      </c>
      <c r="B281" s="2" t="s">
        <v>284</v>
      </c>
      <c r="C281" s="2" t="s">
        <v>288</v>
      </c>
      <c r="D281" s="2" t="s">
        <v>135</v>
      </c>
      <c r="E281" s="2" t="s">
        <v>218</v>
      </c>
      <c r="F281" s="2" t="s">
        <v>166</v>
      </c>
      <c r="G281" s="2" t="s">
        <v>264</v>
      </c>
      <c r="H281" s="2" t="s">
        <v>219</v>
      </c>
      <c r="I281" s="2" t="s">
        <v>199</v>
      </c>
      <c r="J281" s="2" t="s">
        <v>192</v>
      </c>
      <c r="K281" s="2" t="s">
        <v>256</v>
      </c>
      <c r="L281" s="2" t="s">
        <v>274</v>
      </c>
      <c r="M281" s="2" t="s">
        <v>312</v>
      </c>
    </row>
    <row r="282" spans="1:13">
      <c r="A282" s="96" t="s">
        <v>861</v>
      </c>
      <c r="B282" s="2" t="s">
        <v>302</v>
      </c>
      <c r="C282" s="2" t="s">
        <v>285</v>
      </c>
      <c r="D282" s="2" t="s">
        <v>255</v>
      </c>
      <c r="E282" s="2" t="s">
        <v>218</v>
      </c>
      <c r="F282" s="2" t="s">
        <v>206</v>
      </c>
      <c r="G282" s="2" t="s">
        <v>264</v>
      </c>
      <c r="H282" s="2" t="s">
        <v>219</v>
      </c>
      <c r="I282" s="2" t="s">
        <v>199</v>
      </c>
      <c r="J282" s="2" t="s">
        <v>192</v>
      </c>
      <c r="K282" s="2" t="s">
        <v>256</v>
      </c>
      <c r="L282" s="2" t="s">
        <v>295</v>
      </c>
      <c r="M282" s="2" t="s">
        <v>378</v>
      </c>
    </row>
    <row r="283" spans="1:13">
      <c r="A283" s="96" t="s">
        <v>865</v>
      </c>
      <c r="B283" s="2" t="s">
        <v>288</v>
      </c>
      <c r="C283" s="2" t="s">
        <v>293</v>
      </c>
      <c r="D283" s="2" t="s">
        <v>256</v>
      </c>
      <c r="E283" s="2" t="s">
        <v>150</v>
      </c>
      <c r="F283" s="2" t="s">
        <v>200</v>
      </c>
      <c r="G283" s="2" t="s">
        <v>212</v>
      </c>
      <c r="H283" s="2" t="s">
        <v>224</v>
      </c>
      <c r="I283" s="2" t="s">
        <v>126</v>
      </c>
      <c r="J283" s="2" t="s">
        <v>225</v>
      </c>
      <c r="K283" s="2" t="s">
        <v>227</v>
      </c>
      <c r="L283" s="2" t="s">
        <v>276</v>
      </c>
      <c r="M283" s="2" t="s">
        <v>318</v>
      </c>
    </row>
    <row r="284" spans="1:13">
      <c r="A284" s="96" t="s">
        <v>866</v>
      </c>
      <c r="B284" s="2" t="s">
        <v>284</v>
      </c>
      <c r="C284" s="2" t="s">
        <v>306</v>
      </c>
      <c r="D284" s="2" t="s">
        <v>135</v>
      </c>
      <c r="E284" s="2" t="s">
        <v>248</v>
      </c>
      <c r="F284" s="2" t="s">
        <v>218</v>
      </c>
      <c r="G284" s="2" t="s">
        <v>223</v>
      </c>
      <c r="H284" s="2" t="s">
        <v>126</v>
      </c>
      <c r="I284" s="2" t="s">
        <v>199</v>
      </c>
      <c r="J284" s="2" t="s">
        <v>192</v>
      </c>
      <c r="K284" s="2" t="s">
        <v>194</v>
      </c>
      <c r="L284" s="2" t="s">
        <v>293</v>
      </c>
      <c r="M284" s="2" t="s">
        <v>318</v>
      </c>
    </row>
    <row r="285" spans="1:13">
      <c r="A285" s="96" t="s">
        <v>868</v>
      </c>
      <c r="B285" s="2" t="s">
        <v>295</v>
      </c>
      <c r="C285" s="2" t="s">
        <v>134</v>
      </c>
      <c r="D285" s="2" t="s">
        <v>227</v>
      </c>
      <c r="E285" s="2" t="s">
        <v>148</v>
      </c>
      <c r="F285" s="2" t="s">
        <v>168</v>
      </c>
      <c r="G285" s="2" t="s">
        <v>218</v>
      </c>
      <c r="H285" s="2" t="s">
        <v>263</v>
      </c>
      <c r="I285" s="2" t="s">
        <v>260</v>
      </c>
      <c r="J285" s="2" t="s">
        <v>262</v>
      </c>
      <c r="K285" s="2" t="s">
        <v>199</v>
      </c>
      <c r="L285" s="2" t="s">
        <v>177</v>
      </c>
      <c r="M285" s="2" t="s">
        <v>323</v>
      </c>
    </row>
    <row r="286" spans="1:13">
      <c r="A286" s="96" t="s">
        <v>871</v>
      </c>
      <c r="B286" s="2" t="s">
        <v>177</v>
      </c>
      <c r="C286" s="2" t="s">
        <v>246</v>
      </c>
      <c r="D286" s="2" t="s">
        <v>178</v>
      </c>
      <c r="E286" s="2" t="s">
        <v>209</v>
      </c>
      <c r="F286" s="2" t="s">
        <v>222</v>
      </c>
      <c r="G286" s="2" t="s">
        <v>245</v>
      </c>
      <c r="H286" s="2" t="s">
        <v>264</v>
      </c>
      <c r="I286" s="2" t="s">
        <v>262</v>
      </c>
      <c r="J286" s="2" t="s">
        <v>263</v>
      </c>
      <c r="K286" s="2" t="s">
        <v>192</v>
      </c>
      <c r="L286" s="2" t="s">
        <v>241</v>
      </c>
      <c r="M286" s="2" t="s">
        <v>296</v>
      </c>
    </row>
    <row r="287" spans="1:13">
      <c r="A287" s="96" t="s">
        <v>872</v>
      </c>
      <c r="B287" s="2" t="s">
        <v>246</v>
      </c>
      <c r="C287" s="2" t="s">
        <v>257</v>
      </c>
      <c r="D287" s="2" t="s">
        <v>224</v>
      </c>
      <c r="E287" s="2" t="s">
        <v>173</v>
      </c>
      <c r="F287" s="2" t="s">
        <v>131</v>
      </c>
      <c r="G287" s="2" t="s">
        <v>171</v>
      </c>
      <c r="H287" s="2" t="s">
        <v>207</v>
      </c>
      <c r="I287" s="2" t="s">
        <v>130</v>
      </c>
      <c r="J287" s="2" t="s">
        <v>213</v>
      </c>
      <c r="K287" s="2" t="s">
        <v>262</v>
      </c>
      <c r="L287" s="2" t="s">
        <v>122</v>
      </c>
      <c r="M287" s="2" t="s">
        <v>300</v>
      </c>
    </row>
    <row r="288" spans="1:13">
      <c r="A288" s="96" t="s">
        <v>874</v>
      </c>
      <c r="B288" s="2" t="s">
        <v>217</v>
      </c>
      <c r="C288" s="2" t="s">
        <v>201</v>
      </c>
      <c r="D288" s="2" t="s">
        <v>262</v>
      </c>
      <c r="E288" s="2" t="s">
        <v>173</v>
      </c>
      <c r="F288" s="2" t="s">
        <v>144</v>
      </c>
      <c r="G288" s="2" t="s">
        <v>171</v>
      </c>
      <c r="H288" s="2" t="s">
        <v>207</v>
      </c>
      <c r="I288" s="2" t="s">
        <v>130</v>
      </c>
      <c r="J288" s="2" t="s">
        <v>213</v>
      </c>
      <c r="K288" s="2" t="s">
        <v>262</v>
      </c>
      <c r="L288" s="2" t="s">
        <v>246</v>
      </c>
      <c r="M288" s="2" t="s">
        <v>300</v>
      </c>
    </row>
    <row r="289" spans="1:13">
      <c r="A289" s="96" t="s">
        <v>876</v>
      </c>
      <c r="B289" s="2" t="s">
        <v>257</v>
      </c>
      <c r="C289" s="2" t="s">
        <v>135</v>
      </c>
      <c r="D289" s="2" t="s">
        <v>152</v>
      </c>
      <c r="E289" s="2" t="s">
        <v>144</v>
      </c>
      <c r="F289" s="2" t="s">
        <v>112</v>
      </c>
      <c r="G289" s="2" t="s">
        <v>209</v>
      </c>
      <c r="H289" s="2" t="s">
        <v>218</v>
      </c>
      <c r="I289" s="2" t="s">
        <v>196</v>
      </c>
      <c r="J289" s="2" t="s">
        <v>212</v>
      </c>
      <c r="K289" s="2" t="s">
        <v>262</v>
      </c>
      <c r="L289" s="2" t="s">
        <v>246</v>
      </c>
      <c r="M289" s="2" t="s">
        <v>300</v>
      </c>
    </row>
    <row r="290" spans="1:13">
      <c r="A290" s="96" t="s">
        <v>877</v>
      </c>
      <c r="B290" s="2" t="s">
        <v>122</v>
      </c>
      <c r="C290" s="2" t="s">
        <v>221</v>
      </c>
      <c r="D290" s="2" t="s">
        <v>224</v>
      </c>
      <c r="E290" s="2" t="s">
        <v>141</v>
      </c>
      <c r="F290" s="2" t="s">
        <v>145</v>
      </c>
      <c r="G290" s="2" t="s">
        <v>148</v>
      </c>
      <c r="H290" s="2" t="s">
        <v>212</v>
      </c>
      <c r="I290" s="2" t="s">
        <v>223</v>
      </c>
      <c r="J290" s="2" t="s">
        <v>196</v>
      </c>
      <c r="K290" s="2" t="s">
        <v>260</v>
      </c>
      <c r="L290" s="2" t="s">
        <v>170</v>
      </c>
      <c r="M290" s="2" t="s">
        <v>331</v>
      </c>
    </row>
    <row r="291" spans="1:13">
      <c r="A291" s="96" t="s">
        <v>879</v>
      </c>
      <c r="B291" s="2" t="s">
        <v>254</v>
      </c>
      <c r="C291" s="2" t="s">
        <v>249</v>
      </c>
      <c r="D291" s="2" t="s">
        <v>192</v>
      </c>
      <c r="E291" s="2" t="s">
        <v>209</v>
      </c>
      <c r="F291" s="2" t="s">
        <v>222</v>
      </c>
      <c r="G291" s="2" t="s">
        <v>245</v>
      </c>
      <c r="H291" s="2" t="s">
        <v>264</v>
      </c>
      <c r="I291" s="2" t="s">
        <v>262</v>
      </c>
      <c r="J291" s="2" t="s">
        <v>263</v>
      </c>
      <c r="K291" s="2" t="s">
        <v>192</v>
      </c>
      <c r="L291" s="2" t="s">
        <v>134</v>
      </c>
      <c r="M291" s="2" t="s">
        <v>334</v>
      </c>
    </row>
    <row r="292" spans="1:13">
      <c r="A292" s="96" t="s">
        <v>881</v>
      </c>
      <c r="B292" s="2" t="s">
        <v>241</v>
      </c>
      <c r="C292" s="2" t="s">
        <v>217</v>
      </c>
      <c r="D292" s="2" t="s">
        <v>178</v>
      </c>
      <c r="E292" s="2" t="s">
        <v>244</v>
      </c>
      <c r="F292" s="2" t="s">
        <v>222</v>
      </c>
      <c r="G292" s="2" t="s">
        <v>245</v>
      </c>
      <c r="H292" s="2" t="s">
        <v>223</v>
      </c>
      <c r="I292" s="2" t="s">
        <v>262</v>
      </c>
      <c r="J292" s="2" t="s">
        <v>263</v>
      </c>
      <c r="K292" s="2" t="s">
        <v>192</v>
      </c>
      <c r="L292" s="2" t="s">
        <v>134</v>
      </c>
      <c r="M292" s="2" t="s">
        <v>327</v>
      </c>
    </row>
    <row r="293" spans="1:13">
      <c r="A293" s="96" t="s">
        <v>883</v>
      </c>
      <c r="B293" s="2" t="s">
        <v>258</v>
      </c>
      <c r="C293" s="2" t="s">
        <v>253</v>
      </c>
      <c r="D293" s="2" t="s">
        <v>126</v>
      </c>
      <c r="E293" s="2" t="s">
        <v>222</v>
      </c>
      <c r="F293" s="2" t="s">
        <v>119</v>
      </c>
      <c r="G293" s="2" t="s">
        <v>200</v>
      </c>
      <c r="H293" s="2" t="s">
        <v>130</v>
      </c>
      <c r="I293" s="2" t="s">
        <v>228</v>
      </c>
      <c r="J293" s="2" t="s">
        <v>223</v>
      </c>
      <c r="K293" s="2" t="s">
        <v>219</v>
      </c>
      <c r="L293" s="2" t="s">
        <v>254</v>
      </c>
      <c r="M293" s="2" t="s">
        <v>352</v>
      </c>
    </row>
    <row r="294" spans="1:13">
      <c r="A294" s="96" t="s">
        <v>884</v>
      </c>
      <c r="B294" s="2" t="s">
        <v>276</v>
      </c>
      <c r="C294" s="2" t="s">
        <v>258</v>
      </c>
      <c r="D294" s="2" t="s">
        <v>167</v>
      </c>
      <c r="E294" s="2" t="s">
        <v>168</v>
      </c>
      <c r="F294" s="2" t="s">
        <v>244</v>
      </c>
      <c r="G294" s="2" t="s">
        <v>218</v>
      </c>
      <c r="H294" s="2" t="s">
        <v>263</v>
      </c>
      <c r="I294" s="2" t="s">
        <v>225</v>
      </c>
      <c r="J294" s="2" t="s">
        <v>228</v>
      </c>
      <c r="K294" s="2" t="s">
        <v>178</v>
      </c>
      <c r="L294" s="2" t="s">
        <v>134</v>
      </c>
      <c r="M294" s="2" t="s">
        <v>334</v>
      </c>
    </row>
    <row r="295" spans="1:13">
      <c r="A295" s="96" t="s">
        <v>887</v>
      </c>
      <c r="B295" s="2" t="s">
        <v>295</v>
      </c>
      <c r="C295" s="2" t="s">
        <v>134</v>
      </c>
      <c r="D295" s="2" t="s">
        <v>216</v>
      </c>
      <c r="E295" s="2" t="s">
        <v>200</v>
      </c>
      <c r="F295" s="2" t="s">
        <v>148</v>
      </c>
      <c r="G295" s="2" t="s">
        <v>248</v>
      </c>
      <c r="H295" s="2" t="s">
        <v>224</v>
      </c>
      <c r="I295" s="2" t="s">
        <v>126</v>
      </c>
      <c r="J295" s="2" t="s">
        <v>224</v>
      </c>
      <c r="K295" s="2" t="s">
        <v>195</v>
      </c>
      <c r="L295" s="2" t="s">
        <v>250</v>
      </c>
      <c r="M295" s="2" t="s">
        <v>327</v>
      </c>
    </row>
    <row r="296" spans="1:13">
      <c r="A296" s="96" t="s">
        <v>889</v>
      </c>
      <c r="B296" s="2" t="s">
        <v>250</v>
      </c>
      <c r="C296" s="2" t="s">
        <v>246</v>
      </c>
      <c r="D296" s="2" t="s">
        <v>199</v>
      </c>
      <c r="E296" s="2" t="s">
        <v>171</v>
      </c>
      <c r="F296" s="2" t="s">
        <v>244</v>
      </c>
      <c r="G296" s="2" t="s">
        <v>206</v>
      </c>
      <c r="H296" s="2" t="s">
        <v>263</v>
      </c>
      <c r="I296" s="2" t="s">
        <v>260</v>
      </c>
      <c r="J296" s="2" t="s">
        <v>228</v>
      </c>
      <c r="K296" s="2" t="s">
        <v>178</v>
      </c>
      <c r="L296" s="2" t="s">
        <v>254</v>
      </c>
      <c r="M296" s="2" t="s">
        <v>352</v>
      </c>
    </row>
    <row r="297" spans="1:13">
      <c r="A297" s="96" t="s">
        <v>891</v>
      </c>
      <c r="B297" s="2" t="s">
        <v>134</v>
      </c>
      <c r="C297" s="2" t="s">
        <v>217</v>
      </c>
      <c r="D297" s="2" t="s">
        <v>126</v>
      </c>
      <c r="E297" s="2" t="s">
        <v>209</v>
      </c>
      <c r="F297" s="2" t="s">
        <v>222</v>
      </c>
      <c r="G297" s="2" t="s">
        <v>245</v>
      </c>
      <c r="H297" s="2" t="s">
        <v>264</v>
      </c>
      <c r="I297" s="2" t="s">
        <v>262</v>
      </c>
      <c r="J297" s="2" t="s">
        <v>223</v>
      </c>
      <c r="K297" s="2" t="s">
        <v>219</v>
      </c>
      <c r="L297" s="2" t="s">
        <v>170</v>
      </c>
      <c r="M297" s="2" t="s">
        <v>357</v>
      </c>
    </row>
    <row r="298" spans="1:13">
      <c r="A298" s="96" t="s">
        <v>893</v>
      </c>
      <c r="B298" s="2" t="s">
        <v>254</v>
      </c>
      <c r="C298" s="2" t="s">
        <v>253</v>
      </c>
      <c r="D298" s="2" t="s">
        <v>225</v>
      </c>
      <c r="E298" s="2" t="s">
        <v>202</v>
      </c>
      <c r="F298" s="2" t="s">
        <v>141</v>
      </c>
      <c r="G298" s="2" t="s">
        <v>200</v>
      </c>
      <c r="H298" s="2" t="s">
        <v>196</v>
      </c>
      <c r="I298" s="2" t="s">
        <v>263</v>
      </c>
      <c r="J298" s="2" t="s">
        <v>264</v>
      </c>
      <c r="K298" s="2" t="s">
        <v>260</v>
      </c>
      <c r="L298" s="2" t="s">
        <v>246</v>
      </c>
      <c r="M298" s="2" t="s">
        <v>345</v>
      </c>
    </row>
    <row r="299" spans="1:13">
      <c r="A299" s="96" t="s">
        <v>895</v>
      </c>
      <c r="B299" s="2" t="s">
        <v>249</v>
      </c>
      <c r="C299" s="2" t="s">
        <v>220</v>
      </c>
      <c r="D299" s="2" t="s">
        <v>152</v>
      </c>
      <c r="E299" s="2" t="s">
        <v>144</v>
      </c>
      <c r="F299" s="2" t="s">
        <v>112</v>
      </c>
      <c r="G299" s="2" t="s">
        <v>244</v>
      </c>
      <c r="H299" s="2" t="s">
        <v>207</v>
      </c>
      <c r="I299" s="2" t="s">
        <v>130</v>
      </c>
      <c r="J299" s="2" t="s">
        <v>212</v>
      </c>
      <c r="K299" s="2" t="s">
        <v>263</v>
      </c>
      <c r="L299" s="2" t="s">
        <v>253</v>
      </c>
      <c r="M299" s="2" t="s">
        <v>356</v>
      </c>
    </row>
    <row r="300" spans="1:13">
      <c r="A300" s="96" t="s">
        <v>896</v>
      </c>
      <c r="B300" s="2" t="s">
        <v>246</v>
      </c>
      <c r="C300" s="2" t="s">
        <v>257</v>
      </c>
      <c r="D300" s="2" t="s">
        <v>262</v>
      </c>
      <c r="E300" s="2" t="s">
        <v>141</v>
      </c>
      <c r="F300" s="2" t="s">
        <v>145</v>
      </c>
      <c r="G300" s="2" t="s">
        <v>208</v>
      </c>
      <c r="H300" s="2" t="s">
        <v>130</v>
      </c>
      <c r="I300" s="2" t="s">
        <v>228</v>
      </c>
      <c r="J300" s="2" t="s">
        <v>152</v>
      </c>
      <c r="K300" s="2" t="s">
        <v>219</v>
      </c>
      <c r="L300" s="2" t="s">
        <v>170</v>
      </c>
      <c r="M300" s="2" t="s">
        <v>357</v>
      </c>
    </row>
    <row r="301" spans="1:13">
      <c r="A301" s="96" t="s">
        <v>897</v>
      </c>
      <c r="B301" s="2" t="s">
        <v>211</v>
      </c>
      <c r="C301" s="2" t="s">
        <v>135</v>
      </c>
      <c r="D301" s="2" t="s">
        <v>223</v>
      </c>
      <c r="E301" s="2" t="s">
        <v>144</v>
      </c>
      <c r="F301" s="2" t="s">
        <v>112</v>
      </c>
      <c r="G301" s="2" t="s">
        <v>171</v>
      </c>
      <c r="H301" s="2" t="s">
        <v>213</v>
      </c>
      <c r="I301" s="2" t="s">
        <v>152</v>
      </c>
      <c r="J301" s="2" t="s">
        <v>130</v>
      </c>
      <c r="K301" s="2" t="s">
        <v>260</v>
      </c>
      <c r="L301" s="2" t="s">
        <v>122</v>
      </c>
      <c r="M301" s="2" t="s">
        <v>397</v>
      </c>
    </row>
    <row r="302" spans="1:13">
      <c r="A302" s="96" t="s">
        <v>898</v>
      </c>
      <c r="B302" s="2" t="s">
        <v>246</v>
      </c>
      <c r="C302" s="2" t="s">
        <v>257</v>
      </c>
      <c r="D302" s="2" t="s">
        <v>260</v>
      </c>
      <c r="E302" s="2" t="s">
        <v>119</v>
      </c>
      <c r="F302" s="2" t="s">
        <v>145</v>
      </c>
      <c r="G302" s="2" t="s">
        <v>200</v>
      </c>
      <c r="H302" s="2" t="s">
        <v>264</v>
      </c>
      <c r="I302" s="2" t="s">
        <v>262</v>
      </c>
      <c r="J302" s="2" t="s">
        <v>152</v>
      </c>
      <c r="K302" s="2" t="s">
        <v>219</v>
      </c>
      <c r="L302" s="2" t="s">
        <v>259</v>
      </c>
      <c r="M302" s="2" t="s">
        <v>300</v>
      </c>
    </row>
    <row r="303" spans="1:13">
      <c r="A303" s="96" t="s">
        <v>900</v>
      </c>
      <c r="B303" s="2" t="s">
        <v>122</v>
      </c>
      <c r="C303" s="2" t="s">
        <v>221</v>
      </c>
      <c r="D303" s="2" t="s">
        <v>260</v>
      </c>
      <c r="E303" s="2" t="s">
        <v>141</v>
      </c>
      <c r="F303" s="2" t="s">
        <v>145</v>
      </c>
      <c r="G303" s="2" t="s">
        <v>208</v>
      </c>
      <c r="H303" s="2" t="s">
        <v>130</v>
      </c>
      <c r="I303" s="2" t="s">
        <v>228</v>
      </c>
      <c r="J303" s="2" t="s">
        <v>223</v>
      </c>
      <c r="K303" s="2" t="s">
        <v>225</v>
      </c>
      <c r="L303" s="2" t="s">
        <v>246</v>
      </c>
      <c r="M303" s="2" t="s">
        <v>345</v>
      </c>
    </row>
    <row r="304" spans="1:13">
      <c r="A304" s="96" t="s">
        <v>901</v>
      </c>
      <c r="B304" s="2" t="s">
        <v>259</v>
      </c>
      <c r="C304" s="2" t="s">
        <v>211</v>
      </c>
      <c r="D304" s="2" t="s">
        <v>219</v>
      </c>
      <c r="E304" s="2" t="s">
        <v>119</v>
      </c>
      <c r="F304" s="2" t="s">
        <v>141</v>
      </c>
      <c r="G304" s="2" t="s">
        <v>200</v>
      </c>
      <c r="H304" s="2" t="s">
        <v>264</v>
      </c>
      <c r="I304" s="2" t="s">
        <v>262</v>
      </c>
      <c r="J304" s="2" t="s">
        <v>152</v>
      </c>
      <c r="K304" s="2" t="s">
        <v>219</v>
      </c>
      <c r="L304" s="2" t="s">
        <v>170</v>
      </c>
      <c r="M304" s="2" t="s">
        <v>300</v>
      </c>
    </row>
    <row r="305" spans="1:13">
      <c r="A305" s="96" t="s">
        <v>902</v>
      </c>
      <c r="B305" s="2" t="s">
        <v>273</v>
      </c>
      <c r="C305" s="2" t="s">
        <v>259</v>
      </c>
      <c r="D305" s="2" t="s">
        <v>214</v>
      </c>
      <c r="E305" s="2" t="s">
        <v>148</v>
      </c>
      <c r="F305" s="2" t="s">
        <v>171</v>
      </c>
      <c r="G305" s="2" t="s">
        <v>218</v>
      </c>
      <c r="H305" s="2" t="s">
        <v>228</v>
      </c>
      <c r="I305" s="2" t="s">
        <v>219</v>
      </c>
      <c r="J305" s="2" t="s">
        <v>224</v>
      </c>
      <c r="K305" s="2" t="s">
        <v>199</v>
      </c>
      <c r="L305" s="2" t="s">
        <v>241</v>
      </c>
      <c r="M305" s="2" t="s">
        <v>296</v>
      </c>
    </row>
    <row r="306" spans="1:13">
      <c r="A306" s="96" t="s">
        <v>903</v>
      </c>
      <c r="B306" s="2" t="s">
        <v>177</v>
      </c>
      <c r="C306" s="2" t="s">
        <v>246</v>
      </c>
      <c r="D306" s="2" t="s">
        <v>195</v>
      </c>
      <c r="E306" s="2" t="s">
        <v>244</v>
      </c>
      <c r="F306" s="2" t="s">
        <v>209</v>
      </c>
      <c r="G306" s="2" t="s">
        <v>166</v>
      </c>
      <c r="H306" s="2" t="s">
        <v>152</v>
      </c>
      <c r="I306" s="2" t="s">
        <v>224</v>
      </c>
      <c r="J306" s="2" t="s">
        <v>228</v>
      </c>
      <c r="K306" s="2" t="s">
        <v>178</v>
      </c>
      <c r="L306" s="2" t="s">
        <v>254</v>
      </c>
      <c r="M306" s="2" t="s">
        <v>352</v>
      </c>
    </row>
    <row r="307" spans="1:13">
      <c r="A307" s="96" t="s">
        <v>905</v>
      </c>
      <c r="B307" s="2" t="s">
        <v>170</v>
      </c>
      <c r="C307" s="2" t="s">
        <v>191</v>
      </c>
      <c r="D307" s="2" t="s">
        <v>219</v>
      </c>
      <c r="E307" s="2" t="s">
        <v>202</v>
      </c>
      <c r="F307" s="2" t="s">
        <v>119</v>
      </c>
      <c r="G307" s="2" t="s">
        <v>150</v>
      </c>
      <c r="H307" s="2" t="s">
        <v>223</v>
      </c>
      <c r="I307" s="2" t="s">
        <v>262</v>
      </c>
      <c r="J307" s="2" t="s">
        <v>263</v>
      </c>
      <c r="K307" s="2" t="s">
        <v>126</v>
      </c>
      <c r="L307" s="2" t="s">
        <v>258</v>
      </c>
      <c r="M307" s="2" t="s">
        <v>298</v>
      </c>
    </row>
    <row r="308" spans="1:13">
      <c r="A308" s="96" t="s">
        <v>906</v>
      </c>
      <c r="B308" s="2" t="s">
        <v>258</v>
      </c>
      <c r="C308" s="2" t="s">
        <v>253</v>
      </c>
      <c r="D308" s="2" t="s">
        <v>192</v>
      </c>
      <c r="E308" s="2" t="s">
        <v>222</v>
      </c>
      <c r="F308" s="2" t="s">
        <v>202</v>
      </c>
      <c r="G308" s="2" t="s">
        <v>245</v>
      </c>
      <c r="H308" s="2" t="s">
        <v>152</v>
      </c>
      <c r="I308" s="2" t="s">
        <v>224</v>
      </c>
      <c r="J308" s="2" t="s">
        <v>228</v>
      </c>
      <c r="K308" s="2" t="s">
        <v>178</v>
      </c>
      <c r="L308" s="2" t="s">
        <v>254</v>
      </c>
      <c r="M308" s="2" t="s">
        <v>352</v>
      </c>
    </row>
    <row r="309" spans="1:13">
      <c r="A309" s="96" t="s">
        <v>908</v>
      </c>
      <c r="B309" s="2" t="s">
        <v>254</v>
      </c>
      <c r="C309" s="2" t="s">
        <v>217</v>
      </c>
      <c r="D309" s="2" t="s">
        <v>178</v>
      </c>
      <c r="E309" s="2" t="s">
        <v>209</v>
      </c>
      <c r="F309" s="2" t="s">
        <v>202</v>
      </c>
      <c r="G309" s="2" t="s">
        <v>245</v>
      </c>
      <c r="H309" s="2" t="s">
        <v>264</v>
      </c>
      <c r="I309" s="2" t="s">
        <v>262</v>
      </c>
      <c r="J309" s="2" t="s">
        <v>152</v>
      </c>
      <c r="K309" s="2" t="s">
        <v>219</v>
      </c>
      <c r="L309" s="2" t="s">
        <v>246</v>
      </c>
      <c r="M309" s="2" t="s">
        <v>357</v>
      </c>
    </row>
    <row r="310" spans="1:13">
      <c r="A310" s="96" t="s">
        <v>909</v>
      </c>
      <c r="B310" s="2" t="s">
        <v>250</v>
      </c>
      <c r="C310" s="2" t="s">
        <v>170</v>
      </c>
      <c r="D310" s="2" t="s">
        <v>214</v>
      </c>
      <c r="E310" s="2" t="s">
        <v>168</v>
      </c>
      <c r="F310" s="2" t="s">
        <v>244</v>
      </c>
      <c r="G310" s="2" t="s">
        <v>206</v>
      </c>
      <c r="H310" s="2" t="s">
        <v>263</v>
      </c>
      <c r="I310" s="2" t="s">
        <v>260</v>
      </c>
      <c r="J310" s="2" t="s">
        <v>228</v>
      </c>
      <c r="K310" s="2" t="s">
        <v>178</v>
      </c>
      <c r="L310" s="2" t="s">
        <v>258</v>
      </c>
      <c r="M310" s="2" t="s">
        <v>331</v>
      </c>
    </row>
    <row r="311" spans="1:13">
      <c r="A311" s="96" t="s">
        <v>910</v>
      </c>
      <c r="B311" s="2" t="s">
        <v>276</v>
      </c>
      <c r="C311" s="2" t="s">
        <v>254</v>
      </c>
      <c r="D311" s="2" t="s">
        <v>227</v>
      </c>
      <c r="E311" s="2" t="s">
        <v>148</v>
      </c>
      <c r="F311" s="2" t="s">
        <v>171</v>
      </c>
      <c r="G311" s="2" t="s">
        <v>218</v>
      </c>
      <c r="H311" s="2" t="s">
        <v>263</v>
      </c>
      <c r="I311" s="2" t="s">
        <v>260</v>
      </c>
      <c r="J311" s="2" t="s">
        <v>262</v>
      </c>
      <c r="K311" s="2" t="s">
        <v>178</v>
      </c>
      <c r="L311" s="2" t="s">
        <v>254</v>
      </c>
      <c r="M311" s="2" t="s">
        <v>298</v>
      </c>
    </row>
    <row r="312" spans="1:13">
      <c r="A312" s="96" t="s">
        <v>911</v>
      </c>
      <c r="B312" s="2" t="s">
        <v>258</v>
      </c>
      <c r="C312" s="2" t="s">
        <v>253</v>
      </c>
      <c r="D312" s="2" t="s">
        <v>126</v>
      </c>
      <c r="E312" s="2" t="s">
        <v>119</v>
      </c>
      <c r="F312" s="2" t="s">
        <v>145</v>
      </c>
      <c r="G312" s="2" t="s">
        <v>208</v>
      </c>
      <c r="H312" s="2" t="s">
        <v>196</v>
      </c>
      <c r="I312" s="2" t="s">
        <v>263</v>
      </c>
      <c r="J312" s="2" t="s">
        <v>264</v>
      </c>
      <c r="K312" s="2" t="s">
        <v>225</v>
      </c>
      <c r="L312" s="2" t="s">
        <v>246</v>
      </c>
      <c r="M312" s="2" t="s">
        <v>357</v>
      </c>
    </row>
    <row r="313" spans="1:13">
      <c r="A313" s="96" t="s">
        <v>912</v>
      </c>
      <c r="B313" s="2" t="s">
        <v>170</v>
      </c>
      <c r="C313" s="2" t="s">
        <v>191</v>
      </c>
      <c r="D313" s="2" t="s">
        <v>219</v>
      </c>
      <c r="E313" s="2" t="s">
        <v>119</v>
      </c>
      <c r="F313" s="2" t="s">
        <v>141</v>
      </c>
      <c r="G313" s="2" t="s">
        <v>208</v>
      </c>
      <c r="H313" s="2" t="s">
        <v>196</v>
      </c>
      <c r="I313" s="2" t="s">
        <v>263</v>
      </c>
      <c r="J313" s="2" t="s">
        <v>264</v>
      </c>
      <c r="K313" s="2" t="s">
        <v>225</v>
      </c>
      <c r="L313" s="2" t="s">
        <v>246</v>
      </c>
      <c r="M313" s="2" t="s">
        <v>357</v>
      </c>
    </row>
    <row r="314" spans="1:13">
      <c r="A314" s="96" t="s">
        <v>913</v>
      </c>
      <c r="B314" s="2" t="s">
        <v>241</v>
      </c>
      <c r="C314" s="2" t="s">
        <v>217</v>
      </c>
      <c r="D314" s="2" t="s">
        <v>199</v>
      </c>
      <c r="E314" s="2" t="s">
        <v>209</v>
      </c>
      <c r="F314" s="2" t="s">
        <v>222</v>
      </c>
      <c r="G314" s="2" t="s">
        <v>245</v>
      </c>
      <c r="H314" s="2" t="s">
        <v>223</v>
      </c>
      <c r="I314" s="2" t="s">
        <v>262</v>
      </c>
      <c r="J314" s="2" t="s">
        <v>152</v>
      </c>
      <c r="K314" s="2" t="s">
        <v>126</v>
      </c>
      <c r="L314" s="2" t="s">
        <v>258</v>
      </c>
      <c r="M314" s="2" t="s">
        <v>298</v>
      </c>
    </row>
    <row r="315" spans="1:13">
      <c r="A315" s="96" t="s">
        <v>914</v>
      </c>
      <c r="B315" s="2" t="s">
        <v>210</v>
      </c>
      <c r="C315" s="2" t="s">
        <v>134</v>
      </c>
      <c r="D315" s="2" t="s">
        <v>256</v>
      </c>
      <c r="E315" s="2" t="s">
        <v>200</v>
      </c>
      <c r="F315" s="2" t="s">
        <v>148</v>
      </c>
      <c r="G315" s="2" t="s">
        <v>248</v>
      </c>
      <c r="H315" s="2" t="s">
        <v>224</v>
      </c>
      <c r="I315" s="2" t="s">
        <v>126</v>
      </c>
      <c r="J315" s="2" t="s">
        <v>260</v>
      </c>
      <c r="K315" s="2" t="s">
        <v>195</v>
      </c>
      <c r="L315" s="2" t="s">
        <v>250</v>
      </c>
      <c r="M315" s="2" t="s">
        <v>323</v>
      </c>
    </row>
    <row r="316" spans="1:13">
      <c r="A316" s="96" t="s">
        <v>915</v>
      </c>
      <c r="B316" s="2" t="s">
        <v>293</v>
      </c>
      <c r="C316" s="2" t="s">
        <v>241</v>
      </c>
      <c r="D316" s="2" t="s">
        <v>194</v>
      </c>
      <c r="E316" s="2" t="s">
        <v>200</v>
      </c>
      <c r="F316" s="2" t="s">
        <v>148</v>
      </c>
      <c r="G316" s="2" t="s">
        <v>212</v>
      </c>
      <c r="H316" s="2" t="s">
        <v>260</v>
      </c>
      <c r="I316" s="2" t="s">
        <v>192</v>
      </c>
      <c r="J316" s="2" t="s">
        <v>225</v>
      </c>
      <c r="K316" s="2" t="s">
        <v>167</v>
      </c>
      <c r="L316" s="2" t="s">
        <v>273</v>
      </c>
      <c r="M316" s="2" t="s">
        <v>297</v>
      </c>
    </row>
    <row r="317" spans="1:13">
      <c r="A317" s="96" t="s">
        <v>916</v>
      </c>
      <c r="B317" s="2" t="s">
        <v>341</v>
      </c>
      <c r="C317" s="2" t="s">
        <v>259</v>
      </c>
      <c r="D317" s="2" t="s">
        <v>167</v>
      </c>
      <c r="E317" s="2" t="s">
        <v>171</v>
      </c>
      <c r="F317" s="2" t="s">
        <v>244</v>
      </c>
      <c r="G317" s="2" t="s">
        <v>218</v>
      </c>
      <c r="H317" s="2" t="s">
        <v>228</v>
      </c>
      <c r="I317" s="2" t="s">
        <v>225</v>
      </c>
      <c r="J317" s="2" t="s">
        <v>228</v>
      </c>
      <c r="K317" s="2" t="s">
        <v>178</v>
      </c>
      <c r="L317" s="2" t="s">
        <v>250</v>
      </c>
      <c r="M317" s="2" t="s">
        <v>319</v>
      </c>
    </row>
    <row r="318" spans="1:13">
      <c r="A318" s="96" t="s">
        <v>917</v>
      </c>
      <c r="B318" s="2" t="s">
        <v>341</v>
      </c>
      <c r="C318" s="2" t="s">
        <v>259</v>
      </c>
      <c r="D318" s="2" t="s">
        <v>167</v>
      </c>
      <c r="E318" s="2" t="s">
        <v>244</v>
      </c>
      <c r="F318" s="2" t="s">
        <v>209</v>
      </c>
      <c r="G318" s="2" t="s">
        <v>206</v>
      </c>
      <c r="H318" s="2" t="s">
        <v>263</v>
      </c>
      <c r="I318" s="2" t="s">
        <v>224</v>
      </c>
      <c r="J318" s="2" t="s">
        <v>263</v>
      </c>
      <c r="K318" s="2" t="s">
        <v>126</v>
      </c>
      <c r="L318" s="2" t="s">
        <v>134</v>
      </c>
      <c r="M318" s="2" t="s">
        <v>323</v>
      </c>
    </row>
    <row r="319" spans="1:13">
      <c r="A319" s="96" t="s">
        <v>918</v>
      </c>
      <c r="B319" s="2" t="s">
        <v>258</v>
      </c>
      <c r="C319" s="2" t="s">
        <v>211</v>
      </c>
      <c r="D319" s="2" t="s">
        <v>219</v>
      </c>
      <c r="E319" s="2" t="s">
        <v>141</v>
      </c>
      <c r="F319" s="2" t="s">
        <v>173</v>
      </c>
      <c r="G319" s="2" t="s">
        <v>208</v>
      </c>
      <c r="H319" s="2" t="s">
        <v>196</v>
      </c>
      <c r="I319" s="2" t="s">
        <v>223</v>
      </c>
      <c r="J319" s="2" t="s">
        <v>196</v>
      </c>
      <c r="K319" s="2" t="s">
        <v>262</v>
      </c>
      <c r="L319" s="2" t="s">
        <v>170</v>
      </c>
      <c r="M319" s="2" t="s">
        <v>331</v>
      </c>
    </row>
    <row r="320" spans="1:13">
      <c r="A320" s="96" t="s">
        <v>919</v>
      </c>
      <c r="B320" s="2" t="s">
        <v>210</v>
      </c>
      <c r="C320" s="2" t="s">
        <v>241</v>
      </c>
      <c r="D320" s="2" t="s">
        <v>216</v>
      </c>
      <c r="E320" s="2" t="s">
        <v>168</v>
      </c>
      <c r="F320" s="2" t="s">
        <v>244</v>
      </c>
      <c r="G320" s="2" t="s">
        <v>218</v>
      </c>
      <c r="H320" s="2" t="s">
        <v>152</v>
      </c>
      <c r="I320" s="2" t="s">
        <v>224</v>
      </c>
      <c r="J320" s="2" t="s">
        <v>152</v>
      </c>
      <c r="K320" s="2" t="s">
        <v>126</v>
      </c>
      <c r="L320" s="2" t="s">
        <v>254</v>
      </c>
      <c r="M320" s="2" t="s">
        <v>334</v>
      </c>
    </row>
    <row r="321" spans="1:13">
      <c r="A321" s="96" t="s">
        <v>920</v>
      </c>
      <c r="B321" s="2" t="s">
        <v>250</v>
      </c>
      <c r="C321" s="2" t="s">
        <v>170</v>
      </c>
      <c r="D321" s="2" t="s">
        <v>167</v>
      </c>
      <c r="E321" s="2" t="s">
        <v>244</v>
      </c>
      <c r="F321" s="2" t="s">
        <v>222</v>
      </c>
      <c r="G321" s="2" t="s">
        <v>166</v>
      </c>
      <c r="H321" s="2" t="s">
        <v>223</v>
      </c>
      <c r="I321" s="2" t="s">
        <v>262</v>
      </c>
      <c r="J321" s="2" t="s">
        <v>152</v>
      </c>
      <c r="K321" s="2" t="s">
        <v>126</v>
      </c>
      <c r="L321" s="2" t="s">
        <v>134</v>
      </c>
      <c r="M321" s="2" t="s">
        <v>327</v>
      </c>
    </row>
    <row r="322" spans="1:13">
      <c r="A322" s="96" t="s">
        <v>921</v>
      </c>
      <c r="B322" s="2" t="s">
        <v>217</v>
      </c>
      <c r="C322" s="2" t="s">
        <v>221</v>
      </c>
      <c r="D322" s="2" t="s">
        <v>224</v>
      </c>
      <c r="E322" s="2" t="s">
        <v>173</v>
      </c>
      <c r="F322" s="2" t="s">
        <v>144</v>
      </c>
      <c r="G322" s="2" t="s">
        <v>168</v>
      </c>
      <c r="H322" s="2" t="s">
        <v>212</v>
      </c>
      <c r="I322" s="2" t="s">
        <v>264</v>
      </c>
      <c r="J322" s="2" t="s">
        <v>213</v>
      </c>
      <c r="K322" s="2" t="s">
        <v>262</v>
      </c>
      <c r="L322" s="2" t="s">
        <v>259</v>
      </c>
      <c r="M322" s="2" t="s">
        <v>296</v>
      </c>
    </row>
    <row r="323" spans="1:13">
      <c r="A323" s="96" t="s">
        <v>922</v>
      </c>
      <c r="B323" s="2" t="s">
        <v>249</v>
      </c>
      <c r="C323" s="2" t="s">
        <v>198</v>
      </c>
      <c r="D323" s="2" t="s">
        <v>262</v>
      </c>
      <c r="E323" s="2" t="s">
        <v>144</v>
      </c>
      <c r="F323" s="2" t="s">
        <v>112</v>
      </c>
      <c r="G323" s="2" t="s">
        <v>244</v>
      </c>
      <c r="H323" s="2" t="s">
        <v>207</v>
      </c>
      <c r="I323" s="2" t="s">
        <v>196</v>
      </c>
      <c r="J323" s="2" t="s">
        <v>248</v>
      </c>
      <c r="K323" s="2" t="s">
        <v>263</v>
      </c>
      <c r="L323" s="2" t="s">
        <v>122</v>
      </c>
      <c r="M323" s="2" t="s">
        <v>300</v>
      </c>
    </row>
    <row r="324" spans="1:13">
      <c r="A324" s="96" t="s">
        <v>923</v>
      </c>
      <c r="B324" s="2" t="s">
        <v>221</v>
      </c>
      <c r="C324" s="2" t="s">
        <v>151</v>
      </c>
      <c r="D324" s="2" t="s">
        <v>264</v>
      </c>
      <c r="E324" s="2" t="s">
        <v>176</v>
      </c>
      <c r="F324" s="2" t="s">
        <v>133</v>
      </c>
      <c r="G324" s="2" t="s">
        <v>222</v>
      </c>
      <c r="H324" s="2" t="s">
        <v>206</v>
      </c>
      <c r="I324" s="2" t="s">
        <v>212</v>
      </c>
      <c r="J324" s="2" t="s">
        <v>218</v>
      </c>
      <c r="K324" s="2" t="s">
        <v>223</v>
      </c>
      <c r="L324" s="2" t="s">
        <v>249</v>
      </c>
      <c r="M324" s="2" t="s">
        <v>357</v>
      </c>
    </row>
    <row r="325" spans="1:13">
      <c r="A325" s="96" t="s">
        <v>924</v>
      </c>
      <c r="B325" s="2" t="s">
        <v>221</v>
      </c>
      <c r="C325" s="2" t="s">
        <v>151</v>
      </c>
      <c r="D325" s="2" t="s">
        <v>264</v>
      </c>
      <c r="E325" s="2" t="s">
        <v>176</v>
      </c>
      <c r="F325" s="2" t="s">
        <v>133</v>
      </c>
      <c r="G325" s="2" t="s">
        <v>222</v>
      </c>
      <c r="H325" s="2" t="s">
        <v>206</v>
      </c>
      <c r="I325" s="2" t="s">
        <v>213</v>
      </c>
      <c r="J325" s="2" t="s">
        <v>207</v>
      </c>
      <c r="K325" s="2" t="s">
        <v>152</v>
      </c>
      <c r="L325" s="2" t="s">
        <v>217</v>
      </c>
      <c r="M325" s="2" t="s">
        <v>300</v>
      </c>
    </row>
    <row r="326" spans="1:13">
      <c r="A326" s="96" t="s">
        <v>925</v>
      </c>
      <c r="B326" s="2" t="s">
        <v>217</v>
      </c>
      <c r="C326" s="2" t="s">
        <v>221</v>
      </c>
      <c r="D326" s="2" t="s">
        <v>224</v>
      </c>
      <c r="E326" s="2" t="s">
        <v>173</v>
      </c>
      <c r="F326" s="2" t="s">
        <v>144</v>
      </c>
      <c r="G326" s="2" t="s">
        <v>168</v>
      </c>
      <c r="H326" s="2" t="s">
        <v>212</v>
      </c>
      <c r="I326" s="2" t="s">
        <v>264</v>
      </c>
      <c r="J326" s="2" t="s">
        <v>213</v>
      </c>
      <c r="K326" s="2" t="s">
        <v>262</v>
      </c>
      <c r="L326" s="2" t="s">
        <v>259</v>
      </c>
      <c r="M326" s="2" t="s">
        <v>352</v>
      </c>
    </row>
    <row r="327" spans="1:13">
      <c r="A327" s="96" t="s">
        <v>926</v>
      </c>
      <c r="B327" s="2" t="s">
        <v>246</v>
      </c>
      <c r="C327" s="2" t="s">
        <v>191</v>
      </c>
      <c r="D327" s="2" t="s">
        <v>260</v>
      </c>
      <c r="E327" s="2" t="s">
        <v>141</v>
      </c>
      <c r="F327" s="2" t="s">
        <v>173</v>
      </c>
      <c r="G327" s="2" t="s">
        <v>148</v>
      </c>
      <c r="H327" s="2" t="s">
        <v>213</v>
      </c>
      <c r="I327" s="2" t="s">
        <v>152</v>
      </c>
      <c r="J327" s="2" t="s">
        <v>196</v>
      </c>
      <c r="K327" s="2" t="s">
        <v>224</v>
      </c>
      <c r="L327" s="2" t="s">
        <v>258</v>
      </c>
      <c r="M327" s="2" t="s">
        <v>296</v>
      </c>
    </row>
    <row r="328" spans="1:13">
      <c r="A328" s="76" t="s">
        <v>2</v>
      </c>
      <c r="B328" s="2" t="s">
        <v>618</v>
      </c>
      <c r="C328" s="2" t="s">
        <v>758</v>
      </c>
      <c r="D328" s="2" t="s">
        <v>301</v>
      </c>
      <c r="E328" s="2" t="s">
        <v>222</v>
      </c>
      <c r="F328" s="2" t="s">
        <v>147</v>
      </c>
      <c r="G328" s="2" t="s">
        <v>136</v>
      </c>
      <c r="H328" s="2" t="s">
        <v>263</v>
      </c>
      <c r="I328" s="2" t="s">
        <v>219</v>
      </c>
      <c r="J328" s="2" t="s">
        <v>263</v>
      </c>
      <c r="K328" s="2" t="s">
        <v>245</v>
      </c>
      <c r="L328" s="2" t="s">
        <v>318</v>
      </c>
      <c r="M328" s="2" t="s">
        <v>533</v>
      </c>
    </row>
    <row r="329" spans="1:13">
      <c r="A329" s="96" t="s">
        <v>824</v>
      </c>
      <c r="B329" s="2" t="s">
        <v>571</v>
      </c>
      <c r="C329" s="2" t="s">
        <v>645</v>
      </c>
      <c r="D329" s="2" t="s">
        <v>285</v>
      </c>
      <c r="E329" s="2" t="s">
        <v>213</v>
      </c>
      <c r="F329" s="2" t="s">
        <v>266</v>
      </c>
      <c r="G329" s="2" t="s">
        <v>176</v>
      </c>
      <c r="H329" s="2" t="s">
        <v>194</v>
      </c>
      <c r="I329" s="2" t="s">
        <v>251</v>
      </c>
      <c r="J329" s="2" t="s">
        <v>216</v>
      </c>
      <c r="K329" s="2" t="s">
        <v>260</v>
      </c>
      <c r="L329" s="2" t="s">
        <v>365</v>
      </c>
      <c r="M329" s="2" t="s">
        <v>529</v>
      </c>
    </row>
    <row r="330" spans="1:13">
      <c r="A330" s="96" t="s">
        <v>826</v>
      </c>
      <c r="B330" s="2" t="s">
        <v>483</v>
      </c>
      <c r="C330" s="2" t="s">
        <v>671</v>
      </c>
      <c r="D330" s="2" t="s">
        <v>350</v>
      </c>
      <c r="E330" s="2" t="s">
        <v>263</v>
      </c>
      <c r="F330" s="2" t="s">
        <v>226</v>
      </c>
      <c r="G330" s="2" t="s">
        <v>173</v>
      </c>
      <c r="H330" s="2" t="s">
        <v>251</v>
      </c>
      <c r="I330" s="2" t="s">
        <v>197</v>
      </c>
      <c r="J330" s="2" t="s">
        <v>247</v>
      </c>
      <c r="K330" s="2" t="s">
        <v>126</v>
      </c>
      <c r="L330" s="2" t="s">
        <v>367</v>
      </c>
      <c r="M330" s="2" t="s">
        <v>568</v>
      </c>
    </row>
    <row r="331" spans="1:13">
      <c r="A331" s="96" t="s">
        <v>828</v>
      </c>
      <c r="B331" s="2" t="s">
        <v>484</v>
      </c>
      <c r="C331" s="2" t="s">
        <v>469</v>
      </c>
      <c r="D331" s="2" t="s">
        <v>268</v>
      </c>
      <c r="E331" s="2" t="s">
        <v>228</v>
      </c>
      <c r="F331" s="2" t="s">
        <v>118</v>
      </c>
      <c r="G331" s="2" t="s">
        <v>173</v>
      </c>
      <c r="H331" s="2" t="s">
        <v>251</v>
      </c>
      <c r="I331" s="2" t="s">
        <v>197</v>
      </c>
      <c r="J331" s="2" t="s">
        <v>247</v>
      </c>
      <c r="K331" s="2" t="s">
        <v>192</v>
      </c>
      <c r="L331" s="2" t="s">
        <v>367</v>
      </c>
      <c r="M331" s="2" t="s">
        <v>568</v>
      </c>
    </row>
    <row r="332" spans="1:13">
      <c r="A332" s="96" t="s">
        <v>830</v>
      </c>
      <c r="B332" s="2" t="s">
        <v>715</v>
      </c>
      <c r="C332" s="2" t="s">
        <v>681</v>
      </c>
      <c r="D332" s="2" t="s">
        <v>268</v>
      </c>
      <c r="E332" s="2" t="s">
        <v>262</v>
      </c>
      <c r="F332" s="2" t="s">
        <v>118</v>
      </c>
      <c r="G332" s="2" t="s">
        <v>173</v>
      </c>
      <c r="H332" s="2" t="s">
        <v>251</v>
      </c>
      <c r="I332" s="2" t="s">
        <v>197</v>
      </c>
      <c r="J332" s="2" t="s">
        <v>242</v>
      </c>
      <c r="K332" s="2" t="s">
        <v>219</v>
      </c>
      <c r="L332" s="2" t="s">
        <v>367</v>
      </c>
      <c r="M332" s="2" t="s">
        <v>619</v>
      </c>
    </row>
    <row r="333" spans="1:13">
      <c r="A333" s="96" t="s">
        <v>834</v>
      </c>
      <c r="B333" s="2" t="s">
        <v>606</v>
      </c>
      <c r="C333" s="2" t="s">
        <v>499</v>
      </c>
      <c r="D333" s="2" t="s">
        <v>315</v>
      </c>
      <c r="E333" s="2" t="s">
        <v>213</v>
      </c>
      <c r="F333" s="2" t="s">
        <v>136</v>
      </c>
      <c r="G333" s="2" t="s">
        <v>133</v>
      </c>
      <c r="H333" s="2" t="s">
        <v>216</v>
      </c>
      <c r="I333" s="2" t="s">
        <v>247</v>
      </c>
      <c r="J333" s="2" t="s">
        <v>227</v>
      </c>
      <c r="K333" s="2" t="s">
        <v>228</v>
      </c>
      <c r="L333" s="2" t="s">
        <v>354</v>
      </c>
      <c r="M333" s="2" t="s">
        <v>491</v>
      </c>
    </row>
    <row r="334" spans="1:13">
      <c r="A334" s="96" t="s">
        <v>836</v>
      </c>
      <c r="B334" s="2" t="s">
        <v>713</v>
      </c>
      <c r="C334" s="2" t="s">
        <v>606</v>
      </c>
      <c r="D334" s="2" t="s">
        <v>649</v>
      </c>
      <c r="E334" s="2" t="s">
        <v>217</v>
      </c>
      <c r="F334" s="2" t="s">
        <v>264</v>
      </c>
      <c r="G334" s="2" t="s">
        <v>169</v>
      </c>
      <c r="H334" s="2" t="s">
        <v>171</v>
      </c>
      <c r="I334" s="2" t="s">
        <v>251</v>
      </c>
      <c r="J334" s="2" t="s">
        <v>247</v>
      </c>
      <c r="K334" s="2" t="s">
        <v>135</v>
      </c>
      <c r="L334" s="2" t="s">
        <v>311</v>
      </c>
      <c r="M334" s="2" t="s">
        <v>395</v>
      </c>
    </row>
    <row r="335" spans="1:13">
      <c r="A335" s="96" t="s">
        <v>839</v>
      </c>
      <c r="B335" s="2" t="s">
        <v>771</v>
      </c>
      <c r="C335" s="2" t="s">
        <v>680</v>
      </c>
      <c r="D335" s="2" t="s">
        <v>356</v>
      </c>
      <c r="E335" s="2" t="s">
        <v>228</v>
      </c>
      <c r="F335" s="2" t="s">
        <v>226</v>
      </c>
      <c r="G335" s="2" t="s">
        <v>173</v>
      </c>
      <c r="H335" s="2" t="s">
        <v>247</v>
      </c>
      <c r="I335" s="2" t="s">
        <v>151</v>
      </c>
      <c r="J335" s="2" t="s">
        <v>242</v>
      </c>
      <c r="K335" s="2" t="s">
        <v>225</v>
      </c>
      <c r="L335" s="2" t="s">
        <v>361</v>
      </c>
      <c r="M335" s="2" t="s">
        <v>503</v>
      </c>
    </row>
    <row r="336" spans="1:13">
      <c r="A336" s="96" t="s">
        <v>841</v>
      </c>
      <c r="B336" s="2" t="s">
        <v>735</v>
      </c>
      <c r="C336" s="2" t="s">
        <v>610</v>
      </c>
      <c r="D336" s="2" t="s">
        <v>342</v>
      </c>
      <c r="E336" s="2" t="s">
        <v>264</v>
      </c>
      <c r="F336" s="2" t="s">
        <v>193</v>
      </c>
      <c r="G336" s="2" t="s">
        <v>176</v>
      </c>
      <c r="H336" s="2" t="s">
        <v>216</v>
      </c>
      <c r="I336" s="2" t="s">
        <v>247</v>
      </c>
      <c r="J336" s="2" t="s">
        <v>216</v>
      </c>
      <c r="K336" s="2" t="s">
        <v>228</v>
      </c>
      <c r="L336" s="2" t="s">
        <v>268</v>
      </c>
      <c r="M336" s="2" t="s">
        <v>489</v>
      </c>
    </row>
    <row r="337" spans="1:13">
      <c r="A337" s="96" t="s">
        <v>842</v>
      </c>
      <c r="B337" s="2" t="s">
        <v>644</v>
      </c>
      <c r="C337" s="2" t="s">
        <v>639</v>
      </c>
      <c r="D337" s="2" t="s">
        <v>287</v>
      </c>
      <c r="E337" s="2" t="s">
        <v>196</v>
      </c>
      <c r="F337" s="2" t="s">
        <v>266</v>
      </c>
      <c r="G337" s="2" t="s">
        <v>133</v>
      </c>
      <c r="H337" s="2" t="s">
        <v>227</v>
      </c>
      <c r="I337" s="2" t="s">
        <v>247</v>
      </c>
      <c r="J337" s="2" t="s">
        <v>227</v>
      </c>
      <c r="K337" s="2" t="s">
        <v>228</v>
      </c>
      <c r="L337" s="2" t="s">
        <v>268</v>
      </c>
      <c r="M337" s="2" t="s">
        <v>489</v>
      </c>
    </row>
    <row r="338" spans="1:13">
      <c r="A338" s="96" t="s">
        <v>844</v>
      </c>
      <c r="B338" s="2" t="s">
        <v>734</v>
      </c>
      <c r="C338" s="2" t="s">
        <v>767</v>
      </c>
      <c r="D338" s="2" t="s">
        <v>356</v>
      </c>
      <c r="E338" s="2" t="s">
        <v>152</v>
      </c>
      <c r="F338" s="2" t="s">
        <v>149</v>
      </c>
      <c r="G338" s="2" t="s">
        <v>144</v>
      </c>
      <c r="H338" s="2" t="s">
        <v>256</v>
      </c>
      <c r="I338" s="2" t="s">
        <v>255</v>
      </c>
      <c r="J338" s="2" t="s">
        <v>256</v>
      </c>
      <c r="K338" s="2" t="s">
        <v>224</v>
      </c>
      <c r="L338" s="2" t="s">
        <v>376</v>
      </c>
      <c r="M338" s="2" t="s">
        <v>482</v>
      </c>
    </row>
    <row r="339" spans="1:13">
      <c r="A339" s="96" t="s">
        <v>847</v>
      </c>
      <c r="B339" s="2" t="s">
        <v>511</v>
      </c>
      <c r="C339" s="2" t="s">
        <v>573</v>
      </c>
      <c r="D339" s="2" t="s">
        <v>300</v>
      </c>
      <c r="E339" s="2" t="s">
        <v>260</v>
      </c>
      <c r="F339" s="2" t="s">
        <v>261</v>
      </c>
      <c r="G339" s="2" t="s">
        <v>141</v>
      </c>
      <c r="H339" s="2" t="s">
        <v>255</v>
      </c>
      <c r="I339" s="2" t="s">
        <v>220</v>
      </c>
      <c r="J339" s="2" t="s">
        <v>251</v>
      </c>
      <c r="K339" s="2" t="s">
        <v>192</v>
      </c>
      <c r="L339" s="2" t="s">
        <v>305</v>
      </c>
      <c r="M339" s="2" t="s">
        <v>616</v>
      </c>
    </row>
    <row r="340" spans="1:13">
      <c r="A340" s="96" t="s">
        <v>851</v>
      </c>
      <c r="B340" s="2" t="s">
        <v>483</v>
      </c>
      <c r="C340" s="2" t="s">
        <v>659</v>
      </c>
      <c r="D340" s="2" t="s">
        <v>357</v>
      </c>
      <c r="E340" s="2" t="s">
        <v>224</v>
      </c>
      <c r="F340" s="2" t="s">
        <v>118</v>
      </c>
      <c r="G340" s="2" t="s">
        <v>145</v>
      </c>
      <c r="H340" s="2" t="s">
        <v>247</v>
      </c>
      <c r="I340" s="2" t="s">
        <v>151</v>
      </c>
      <c r="J340" s="2" t="s">
        <v>242</v>
      </c>
      <c r="K340" s="2" t="s">
        <v>219</v>
      </c>
      <c r="L340" s="2" t="s">
        <v>305</v>
      </c>
      <c r="M340" s="2" t="s">
        <v>494</v>
      </c>
    </row>
    <row r="341" spans="1:13">
      <c r="A341" s="96" t="s">
        <v>852</v>
      </c>
      <c r="B341" s="2" t="s">
        <v>585</v>
      </c>
      <c r="C341" s="2" t="s">
        <v>681</v>
      </c>
      <c r="D341" s="2" t="s">
        <v>328</v>
      </c>
      <c r="E341" s="2" t="s">
        <v>126</v>
      </c>
      <c r="F341" s="2" t="s">
        <v>203</v>
      </c>
      <c r="G341" s="2" t="s">
        <v>202</v>
      </c>
      <c r="H341" s="2" t="s">
        <v>252</v>
      </c>
      <c r="I341" s="2" t="s">
        <v>220</v>
      </c>
      <c r="J341" s="2" t="s">
        <v>255</v>
      </c>
      <c r="K341" s="2" t="s">
        <v>178</v>
      </c>
      <c r="L341" s="2" t="s">
        <v>421</v>
      </c>
      <c r="M341" s="2" t="s">
        <v>552</v>
      </c>
    </row>
    <row r="342" spans="1:13">
      <c r="A342" s="96" t="s">
        <v>854</v>
      </c>
      <c r="B342" s="2" t="s">
        <v>759</v>
      </c>
      <c r="C342" s="2" t="s">
        <v>566</v>
      </c>
      <c r="D342" s="2" t="s">
        <v>345</v>
      </c>
      <c r="E342" s="2" t="s">
        <v>260</v>
      </c>
      <c r="F342" s="2" t="s">
        <v>204</v>
      </c>
      <c r="G342" s="2" t="s">
        <v>145</v>
      </c>
      <c r="H342" s="2" t="s">
        <v>247</v>
      </c>
      <c r="I342" s="2" t="s">
        <v>151</v>
      </c>
      <c r="J342" s="2" t="s">
        <v>242</v>
      </c>
      <c r="K342" s="2" t="s">
        <v>219</v>
      </c>
      <c r="L342" s="2" t="s">
        <v>370</v>
      </c>
      <c r="M342" s="2" t="s">
        <v>495</v>
      </c>
    </row>
    <row r="343" spans="1:13">
      <c r="A343" s="96" t="s">
        <v>856</v>
      </c>
      <c r="B343" s="2" t="s">
        <v>772</v>
      </c>
      <c r="C343" s="2" t="s">
        <v>703</v>
      </c>
      <c r="D343" s="2" t="s">
        <v>348</v>
      </c>
      <c r="E343" s="2" t="s">
        <v>227</v>
      </c>
      <c r="F343" s="2" t="s">
        <v>173</v>
      </c>
      <c r="G343" s="2" t="s">
        <v>148</v>
      </c>
      <c r="H343" s="2" t="s">
        <v>198</v>
      </c>
      <c r="I343" s="2" t="s">
        <v>211</v>
      </c>
      <c r="J343" s="2" t="s">
        <v>220</v>
      </c>
      <c r="K343" s="2" t="s">
        <v>227</v>
      </c>
      <c r="L343" s="2" t="s">
        <v>383</v>
      </c>
      <c r="M343" s="2" t="s">
        <v>508</v>
      </c>
    </row>
    <row r="344" spans="1:13">
      <c r="A344" s="96" t="s">
        <v>858</v>
      </c>
      <c r="B344" s="2" t="s">
        <v>838</v>
      </c>
      <c r="C344" s="2" t="s">
        <v>562</v>
      </c>
      <c r="D344" s="2" t="s">
        <v>379</v>
      </c>
      <c r="E344" s="2" t="s">
        <v>216</v>
      </c>
      <c r="F344" s="2" t="s">
        <v>145</v>
      </c>
      <c r="G344" s="2" t="s">
        <v>208</v>
      </c>
      <c r="H344" s="2" t="s">
        <v>221</v>
      </c>
      <c r="I344" s="2" t="s">
        <v>249</v>
      </c>
      <c r="J344" s="2" t="s">
        <v>201</v>
      </c>
      <c r="K344" s="2" t="s">
        <v>194</v>
      </c>
      <c r="L344" s="2" t="s">
        <v>344</v>
      </c>
      <c r="M344" s="2" t="s">
        <v>514</v>
      </c>
    </row>
    <row r="345" spans="1:13">
      <c r="A345" s="96" t="s">
        <v>861</v>
      </c>
      <c r="B345" s="2" t="s">
        <v>780</v>
      </c>
      <c r="C345" s="2" t="s">
        <v>705</v>
      </c>
      <c r="D345" s="2" t="s">
        <v>398</v>
      </c>
      <c r="E345" s="2" t="s">
        <v>227</v>
      </c>
      <c r="F345" s="2" t="s">
        <v>145</v>
      </c>
      <c r="G345" s="2" t="s">
        <v>208</v>
      </c>
      <c r="H345" s="2" t="s">
        <v>201</v>
      </c>
      <c r="I345" s="2" t="s">
        <v>253</v>
      </c>
      <c r="J345" s="2" t="s">
        <v>201</v>
      </c>
      <c r="K345" s="2" t="s">
        <v>194</v>
      </c>
      <c r="L345" s="2" t="s">
        <v>290</v>
      </c>
      <c r="M345" s="2" t="s">
        <v>642</v>
      </c>
    </row>
    <row r="346" spans="1:13">
      <c r="A346" s="96" t="s">
        <v>865</v>
      </c>
      <c r="B346" s="2" t="s">
        <v>641</v>
      </c>
      <c r="C346" s="2" t="s">
        <v>697</v>
      </c>
      <c r="D346" s="2" t="s">
        <v>382</v>
      </c>
      <c r="E346" s="2" t="s">
        <v>199</v>
      </c>
      <c r="F346" s="2" t="s">
        <v>169</v>
      </c>
      <c r="G346" s="2" t="s">
        <v>244</v>
      </c>
      <c r="H346" s="2" t="s">
        <v>220</v>
      </c>
      <c r="I346" s="2" t="s">
        <v>257</v>
      </c>
      <c r="J346" s="2" t="s">
        <v>197</v>
      </c>
      <c r="K346" s="2" t="s">
        <v>214</v>
      </c>
      <c r="L346" s="2" t="s">
        <v>379</v>
      </c>
      <c r="M346" s="2" t="s">
        <v>480</v>
      </c>
    </row>
    <row r="347" spans="1:13">
      <c r="A347" s="96" t="s">
        <v>866</v>
      </c>
      <c r="B347" s="2" t="s">
        <v>704</v>
      </c>
      <c r="C347" s="2" t="s">
        <v>525</v>
      </c>
      <c r="D347" s="2" t="s">
        <v>360</v>
      </c>
      <c r="E347" s="2" t="s">
        <v>199</v>
      </c>
      <c r="F347" s="2" t="s">
        <v>176</v>
      </c>
      <c r="G347" s="2" t="s">
        <v>209</v>
      </c>
      <c r="H347" s="2" t="s">
        <v>151</v>
      </c>
      <c r="I347" s="2" t="s">
        <v>198</v>
      </c>
      <c r="J347" s="2" t="s">
        <v>255</v>
      </c>
      <c r="K347" s="2" t="s">
        <v>178</v>
      </c>
      <c r="L347" s="2" t="s">
        <v>387</v>
      </c>
      <c r="M347" s="2" t="s">
        <v>491</v>
      </c>
    </row>
    <row r="348" spans="1:13">
      <c r="A348" s="96" t="s">
        <v>868</v>
      </c>
      <c r="B348" s="2" t="s">
        <v>686</v>
      </c>
      <c r="C348" s="2" t="s">
        <v>630</v>
      </c>
      <c r="D348" s="2" t="s">
        <v>312</v>
      </c>
      <c r="E348" s="2" t="s">
        <v>152</v>
      </c>
      <c r="F348" s="2" t="s">
        <v>265</v>
      </c>
      <c r="G348" s="2" t="s">
        <v>112</v>
      </c>
      <c r="H348" s="2" t="s">
        <v>194</v>
      </c>
      <c r="I348" s="2" t="s">
        <v>251</v>
      </c>
      <c r="J348" s="2" t="s">
        <v>216</v>
      </c>
      <c r="K348" s="2" t="s">
        <v>228</v>
      </c>
      <c r="L348" s="2" t="s">
        <v>350</v>
      </c>
      <c r="M348" s="2" t="s">
        <v>510</v>
      </c>
    </row>
    <row r="349" spans="1:13">
      <c r="A349" s="96" t="s">
        <v>871</v>
      </c>
      <c r="B349" s="2" t="s">
        <v>664</v>
      </c>
      <c r="C349" s="2" t="s">
        <v>608</v>
      </c>
      <c r="D349" s="2" t="s">
        <v>323</v>
      </c>
      <c r="E349" s="2" t="s">
        <v>130</v>
      </c>
      <c r="F349" s="2" t="s">
        <v>174</v>
      </c>
      <c r="G349" s="2" t="s">
        <v>133</v>
      </c>
      <c r="H349" s="2" t="s">
        <v>214</v>
      </c>
      <c r="I349" s="2" t="s">
        <v>215</v>
      </c>
      <c r="J349" s="2" t="s">
        <v>214</v>
      </c>
      <c r="K349" s="2" t="s">
        <v>152</v>
      </c>
      <c r="L349" s="2" t="s">
        <v>378</v>
      </c>
      <c r="M349" s="2" t="s">
        <v>683</v>
      </c>
    </row>
    <row r="350" spans="1:13">
      <c r="A350" s="96" t="s">
        <v>872</v>
      </c>
      <c r="B350" s="2" t="s">
        <v>745</v>
      </c>
      <c r="C350" s="2" t="s">
        <v>598</v>
      </c>
      <c r="D350" s="2" t="s">
        <v>298</v>
      </c>
      <c r="E350" s="2" t="s">
        <v>218</v>
      </c>
      <c r="F350" s="2" t="s">
        <v>121</v>
      </c>
      <c r="G350" s="2" t="s">
        <v>226</v>
      </c>
      <c r="H350" s="2" t="s">
        <v>126</v>
      </c>
      <c r="I350" s="2" t="s">
        <v>214</v>
      </c>
      <c r="J350" s="2" t="s">
        <v>126</v>
      </c>
      <c r="K350" s="2" t="s">
        <v>213</v>
      </c>
      <c r="L350" s="2" t="s">
        <v>319</v>
      </c>
      <c r="M350" s="2" t="s">
        <v>533</v>
      </c>
    </row>
    <row r="351" spans="1:13">
      <c r="A351" s="96" t="s">
        <v>874</v>
      </c>
      <c r="B351" s="2" t="s">
        <v>673</v>
      </c>
      <c r="C351" s="2" t="s">
        <v>654</v>
      </c>
      <c r="D351" s="2" t="s">
        <v>331</v>
      </c>
      <c r="E351" s="2" t="s">
        <v>168</v>
      </c>
      <c r="F351" s="2" t="s">
        <v>104</v>
      </c>
      <c r="G351" s="2" t="s">
        <v>267</v>
      </c>
      <c r="H351" s="2" t="s">
        <v>152</v>
      </c>
      <c r="I351" s="2" t="s">
        <v>225</v>
      </c>
      <c r="J351" s="2" t="s">
        <v>263</v>
      </c>
      <c r="K351" s="2" t="s">
        <v>150</v>
      </c>
      <c r="L351" s="2" t="s">
        <v>319</v>
      </c>
      <c r="M351" s="2" t="s">
        <v>541</v>
      </c>
    </row>
    <row r="352" spans="1:13">
      <c r="A352" s="96" t="s">
        <v>876</v>
      </c>
      <c r="B352" s="2" t="s">
        <v>671</v>
      </c>
      <c r="C352" s="2" t="s">
        <v>583</v>
      </c>
      <c r="D352" s="2" t="s">
        <v>335</v>
      </c>
      <c r="E352" s="2" t="s">
        <v>202</v>
      </c>
      <c r="F352" s="2" t="s">
        <v>283</v>
      </c>
      <c r="G352" s="2" t="s">
        <v>142</v>
      </c>
      <c r="H352" s="2" t="s">
        <v>196</v>
      </c>
      <c r="I352" s="2" t="s">
        <v>228</v>
      </c>
      <c r="J352" s="2" t="s">
        <v>130</v>
      </c>
      <c r="K352" s="2" t="s">
        <v>148</v>
      </c>
      <c r="L352" s="2" t="s">
        <v>319</v>
      </c>
      <c r="M352" s="2" t="s">
        <v>541</v>
      </c>
    </row>
    <row r="353" spans="1:13">
      <c r="A353" s="96" t="s">
        <v>877</v>
      </c>
      <c r="B353" s="2" t="s">
        <v>630</v>
      </c>
      <c r="C353" s="2" t="s">
        <v>651</v>
      </c>
      <c r="D353" s="2" t="s">
        <v>302</v>
      </c>
      <c r="E353" s="2" t="s">
        <v>244</v>
      </c>
      <c r="F353" s="2" t="s">
        <v>127</v>
      </c>
      <c r="G353" s="2" t="s">
        <v>143</v>
      </c>
      <c r="H353" s="2" t="s">
        <v>264</v>
      </c>
      <c r="I353" s="2" t="s">
        <v>224</v>
      </c>
      <c r="J353" s="2" t="s">
        <v>264</v>
      </c>
      <c r="K353" s="2" t="s">
        <v>148</v>
      </c>
      <c r="L353" s="2" t="s">
        <v>318</v>
      </c>
      <c r="M353" s="2" t="s">
        <v>541</v>
      </c>
    </row>
    <row r="354" spans="1:13">
      <c r="A354" s="96" t="s">
        <v>879</v>
      </c>
      <c r="B354" s="2" t="s">
        <v>525</v>
      </c>
      <c r="C354" s="2" t="s">
        <v>587</v>
      </c>
      <c r="D354" s="2" t="s">
        <v>287</v>
      </c>
      <c r="E354" s="2" t="s">
        <v>208</v>
      </c>
      <c r="F354" s="2" t="s">
        <v>123</v>
      </c>
      <c r="G354" s="2" t="s">
        <v>136</v>
      </c>
      <c r="H354" s="2" t="s">
        <v>228</v>
      </c>
      <c r="I354" s="2" t="s">
        <v>126</v>
      </c>
      <c r="J354" s="2" t="s">
        <v>228</v>
      </c>
      <c r="K354" s="2" t="s">
        <v>166</v>
      </c>
      <c r="L354" s="2" t="s">
        <v>312</v>
      </c>
      <c r="M354" s="2" t="s">
        <v>683</v>
      </c>
    </row>
    <row r="355" spans="1:13">
      <c r="A355" s="96" t="s">
        <v>881</v>
      </c>
      <c r="B355" s="2" t="s">
        <v>524</v>
      </c>
      <c r="C355" s="2" t="s">
        <v>639</v>
      </c>
      <c r="D355" s="2" t="s">
        <v>300</v>
      </c>
      <c r="E355" s="2" t="s">
        <v>200</v>
      </c>
      <c r="F355" s="2" t="s">
        <v>147</v>
      </c>
      <c r="G355" s="2" t="s">
        <v>136</v>
      </c>
      <c r="H355" s="2" t="s">
        <v>228</v>
      </c>
      <c r="I355" s="2" t="s">
        <v>126</v>
      </c>
      <c r="J355" s="2" t="s">
        <v>228</v>
      </c>
      <c r="K355" s="2" t="s">
        <v>166</v>
      </c>
      <c r="L355" s="2" t="s">
        <v>292</v>
      </c>
      <c r="M355" s="2" t="s">
        <v>595</v>
      </c>
    </row>
    <row r="356" spans="1:13">
      <c r="A356" s="96" t="s">
        <v>883</v>
      </c>
      <c r="B356" s="2" t="s">
        <v>536</v>
      </c>
      <c r="C356" s="2" t="s">
        <v>600</v>
      </c>
      <c r="D356" s="2" t="s">
        <v>314</v>
      </c>
      <c r="E356" s="2" t="s">
        <v>168</v>
      </c>
      <c r="F356" s="2" t="s">
        <v>111</v>
      </c>
      <c r="G356" s="2" t="s">
        <v>267</v>
      </c>
      <c r="H356" s="2" t="s">
        <v>263</v>
      </c>
      <c r="I356" s="2" t="s">
        <v>225</v>
      </c>
      <c r="J356" s="2" t="s">
        <v>152</v>
      </c>
      <c r="K356" s="2" t="s">
        <v>200</v>
      </c>
      <c r="L356" s="2" t="s">
        <v>365</v>
      </c>
      <c r="M356" s="2" t="s">
        <v>516</v>
      </c>
    </row>
    <row r="357" spans="1:13">
      <c r="A357" s="96" t="s">
        <v>884</v>
      </c>
      <c r="B357" s="2" t="s">
        <v>550</v>
      </c>
      <c r="C357" s="2" t="s">
        <v>654</v>
      </c>
      <c r="D357" s="2" t="s">
        <v>345</v>
      </c>
      <c r="E357" s="2" t="s">
        <v>171</v>
      </c>
      <c r="F357" s="2" t="s">
        <v>104</v>
      </c>
      <c r="G357" s="2" t="s">
        <v>267</v>
      </c>
      <c r="H357" s="2" t="s">
        <v>152</v>
      </c>
      <c r="I357" s="2" t="s">
        <v>225</v>
      </c>
      <c r="J357" s="2" t="s">
        <v>223</v>
      </c>
      <c r="K357" s="2" t="s">
        <v>208</v>
      </c>
      <c r="L357" s="2" t="s">
        <v>378</v>
      </c>
      <c r="M357" s="2" t="s">
        <v>521</v>
      </c>
    </row>
    <row r="358" spans="1:13">
      <c r="A358" s="96" t="s">
        <v>887</v>
      </c>
      <c r="B358" s="2" t="s">
        <v>582</v>
      </c>
      <c r="C358" s="2" t="s">
        <v>651</v>
      </c>
      <c r="D358" s="2" t="s">
        <v>298</v>
      </c>
      <c r="E358" s="2" t="s">
        <v>208</v>
      </c>
      <c r="F358" s="2" t="s">
        <v>147</v>
      </c>
      <c r="G358" s="2" t="s">
        <v>136</v>
      </c>
      <c r="H358" s="2" t="s">
        <v>262</v>
      </c>
      <c r="I358" s="2" t="s">
        <v>126</v>
      </c>
      <c r="J358" s="2" t="s">
        <v>263</v>
      </c>
      <c r="K358" s="2" t="s">
        <v>150</v>
      </c>
      <c r="L358" s="2" t="s">
        <v>313</v>
      </c>
      <c r="M358" s="2" t="s">
        <v>509</v>
      </c>
    </row>
    <row r="359" spans="1:13">
      <c r="A359" s="96" t="s">
        <v>889</v>
      </c>
      <c r="B359" s="2" t="s">
        <v>576</v>
      </c>
      <c r="C359" s="2" t="s">
        <v>513</v>
      </c>
      <c r="D359" s="2" t="s">
        <v>346</v>
      </c>
      <c r="E359" s="2" t="s">
        <v>209</v>
      </c>
      <c r="F359" s="2" t="s">
        <v>307</v>
      </c>
      <c r="G359" s="2" t="s">
        <v>172</v>
      </c>
      <c r="H359" s="2" t="s">
        <v>152</v>
      </c>
      <c r="I359" s="2" t="s">
        <v>260</v>
      </c>
      <c r="J359" s="2" t="s">
        <v>223</v>
      </c>
      <c r="K359" s="2" t="s">
        <v>148</v>
      </c>
      <c r="L359" s="2" t="s">
        <v>318</v>
      </c>
      <c r="M359" s="2" t="s">
        <v>554</v>
      </c>
    </row>
    <row r="360" spans="1:13">
      <c r="A360" s="96" t="s">
        <v>891</v>
      </c>
      <c r="B360" s="2" t="s">
        <v>728</v>
      </c>
      <c r="C360" s="2" t="s">
        <v>567</v>
      </c>
      <c r="D360" s="2" t="s">
        <v>324</v>
      </c>
      <c r="E360" s="2" t="s">
        <v>119</v>
      </c>
      <c r="F360" s="2" t="s">
        <v>282</v>
      </c>
      <c r="G360" s="2" t="s">
        <v>110</v>
      </c>
      <c r="H360" s="2" t="s">
        <v>130</v>
      </c>
      <c r="I360" s="2" t="s">
        <v>262</v>
      </c>
      <c r="J360" s="2" t="s">
        <v>196</v>
      </c>
      <c r="K360" s="2" t="s">
        <v>244</v>
      </c>
      <c r="L360" s="2" t="s">
        <v>327</v>
      </c>
      <c r="M360" s="2" t="s">
        <v>621</v>
      </c>
    </row>
    <row r="361" spans="1:13">
      <c r="A361" s="96" t="s">
        <v>893</v>
      </c>
      <c r="B361" s="2" t="s">
        <v>590</v>
      </c>
      <c r="C361" s="2" t="s">
        <v>667</v>
      </c>
      <c r="D361" s="2" t="s">
        <v>302</v>
      </c>
      <c r="E361" s="2" t="s">
        <v>145</v>
      </c>
      <c r="F361" s="2" t="s">
        <v>157</v>
      </c>
      <c r="G361" s="2" t="s">
        <v>121</v>
      </c>
      <c r="H361" s="2" t="s">
        <v>213</v>
      </c>
      <c r="I361" s="2" t="s">
        <v>263</v>
      </c>
      <c r="J361" s="2" t="s">
        <v>212</v>
      </c>
      <c r="K361" s="2" t="s">
        <v>209</v>
      </c>
      <c r="L361" s="2" t="s">
        <v>334</v>
      </c>
      <c r="M361" s="2" t="s">
        <v>556</v>
      </c>
    </row>
    <row r="362" spans="1:13">
      <c r="A362" s="96" t="s">
        <v>895</v>
      </c>
      <c r="B362" s="2" t="s">
        <v>651</v>
      </c>
      <c r="C362" s="2" t="s">
        <v>474</v>
      </c>
      <c r="D362" s="2" t="s">
        <v>321</v>
      </c>
      <c r="E362" s="2" t="s">
        <v>176</v>
      </c>
      <c r="F362" s="2" t="s">
        <v>271</v>
      </c>
      <c r="G362" s="2" t="s">
        <v>147</v>
      </c>
      <c r="H362" s="2" t="s">
        <v>218</v>
      </c>
      <c r="I362" s="2" t="s">
        <v>130</v>
      </c>
      <c r="J362" s="2" t="s">
        <v>218</v>
      </c>
      <c r="K362" s="2" t="s">
        <v>141</v>
      </c>
      <c r="L362" s="2" t="s">
        <v>300</v>
      </c>
      <c r="M362" s="2" t="s">
        <v>558</v>
      </c>
    </row>
    <row r="363" spans="1:13">
      <c r="A363" s="96" t="s">
        <v>896</v>
      </c>
      <c r="B363" s="2" t="s">
        <v>712</v>
      </c>
      <c r="C363" s="2" t="s">
        <v>515</v>
      </c>
      <c r="D363" s="2" t="s">
        <v>341</v>
      </c>
      <c r="E363" s="2" t="s">
        <v>204</v>
      </c>
      <c r="F363" s="2" t="s">
        <v>125</v>
      </c>
      <c r="G363" s="2" t="s">
        <v>205</v>
      </c>
      <c r="H363" s="2" t="s">
        <v>196</v>
      </c>
      <c r="I363" s="2" t="s">
        <v>228</v>
      </c>
      <c r="J363" s="2" t="s">
        <v>196</v>
      </c>
      <c r="K363" s="2" t="s">
        <v>244</v>
      </c>
      <c r="L363" s="2" t="s">
        <v>298</v>
      </c>
      <c r="M363" s="2" t="s">
        <v>496</v>
      </c>
    </row>
    <row r="364" spans="1:13">
      <c r="A364" s="96" t="s">
        <v>897</v>
      </c>
      <c r="B364" s="2" t="s">
        <v>701</v>
      </c>
      <c r="C364" s="2" t="s">
        <v>552</v>
      </c>
      <c r="D364" s="2" t="s">
        <v>257</v>
      </c>
      <c r="E364" s="2" t="s">
        <v>149</v>
      </c>
      <c r="F364" s="2" t="s">
        <v>271</v>
      </c>
      <c r="G364" s="2" t="s">
        <v>106</v>
      </c>
      <c r="H364" s="2" t="s">
        <v>212</v>
      </c>
      <c r="I364" s="2" t="s">
        <v>152</v>
      </c>
      <c r="J364" s="2" t="s">
        <v>212</v>
      </c>
      <c r="K364" s="2" t="s">
        <v>222</v>
      </c>
      <c r="L364" s="2" t="s">
        <v>300</v>
      </c>
      <c r="M364" s="2" t="s">
        <v>558</v>
      </c>
    </row>
    <row r="365" spans="1:13">
      <c r="A365" s="96" t="s">
        <v>898</v>
      </c>
      <c r="B365" s="2" t="s">
        <v>470</v>
      </c>
      <c r="C365" s="2" t="s">
        <v>545</v>
      </c>
      <c r="D365" s="2" t="s">
        <v>122</v>
      </c>
      <c r="E365" s="2" t="s">
        <v>266</v>
      </c>
      <c r="F365" s="2" t="s">
        <v>115</v>
      </c>
      <c r="G365" s="2" t="s">
        <v>104</v>
      </c>
      <c r="H365" s="2" t="s">
        <v>166</v>
      </c>
      <c r="I365" s="2" t="s">
        <v>213</v>
      </c>
      <c r="J365" s="2" t="s">
        <v>166</v>
      </c>
      <c r="K365" s="2" t="s">
        <v>173</v>
      </c>
      <c r="L365" s="2" t="s">
        <v>352</v>
      </c>
      <c r="M365" s="2" t="s">
        <v>553</v>
      </c>
    </row>
    <row r="366" spans="1:13">
      <c r="A366" s="96" t="s">
        <v>900</v>
      </c>
      <c r="B366" s="2" t="s">
        <v>481</v>
      </c>
      <c r="C366" s="2" t="s">
        <v>539</v>
      </c>
      <c r="D366" s="2" t="s">
        <v>122</v>
      </c>
      <c r="E366" s="2" t="s">
        <v>174</v>
      </c>
      <c r="F366" s="2" t="s">
        <v>139</v>
      </c>
      <c r="G366" s="2" t="s">
        <v>127</v>
      </c>
      <c r="H366" s="2" t="s">
        <v>150</v>
      </c>
      <c r="I366" s="2" t="s">
        <v>207</v>
      </c>
      <c r="J366" s="2" t="s">
        <v>200</v>
      </c>
      <c r="K366" s="2" t="s">
        <v>144</v>
      </c>
      <c r="L366" s="2" t="s">
        <v>331</v>
      </c>
      <c r="M366" s="2" t="s">
        <v>575</v>
      </c>
    </row>
    <row r="367" spans="1:13">
      <c r="A367" s="96" t="s">
        <v>901</v>
      </c>
      <c r="B367" s="2" t="s">
        <v>500</v>
      </c>
      <c r="C367" s="2" t="s">
        <v>482</v>
      </c>
      <c r="D367" s="2" t="s">
        <v>170</v>
      </c>
      <c r="E367" s="2" t="s">
        <v>136</v>
      </c>
      <c r="F367" s="2" t="s">
        <v>115</v>
      </c>
      <c r="G367" s="2" t="s">
        <v>104</v>
      </c>
      <c r="H367" s="2" t="s">
        <v>245</v>
      </c>
      <c r="I367" s="2" t="s">
        <v>248</v>
      </c>
      <c r="J367" s="2" t="s">
        <v>150</v>
      </c>
      <c r="K367" s="2" t="s">
        <v>131</v>
      </c>
      <c r="L367" s="2" t="s">
        <v>397</v>
      </c>
      <c r="M367" s="2" t="s">
        <v>623</v>
      </c>
    </row>
    <row r="368" spans="1:13">
      <c r="A368" s="96" t="s">
        <v>902</v>
      </c>
      <c r="B368" s="2" t="s">
        <v>487</v>
      </c>
      <c r="C368" s="2" t="s">
        <v>479</v>
      </c>
      <c r="D368" s="2" t="s">
        <v>341</v>
      </c>
      <c r="E368" s="2" t="s">
        <v>118</v>
      </c>
      <c r="F368" s="2" t="s">
        <v>114</v>
      </c>
      <c r="G368" s="2" t="s">
        <v>106</v>
      </c>
      <c r="H368" s="2" t="s">
        <v>207</v>
      </c>
      <c r="I368" s="2" t="s">
        <v>264</v>
      </c>
      <c r="J368" s="2" t="s">
        <v>207</v>
      </c>
      <c r="K368" s="2" t="s">
        <v>119</v>
      </c>
      <c r="L368" s="2" t="s">
        <v>331</v>
      </c>
      <c r="M368" s="2" t="s">
        <v>496</v>
      </c>
    </row>
    <row r="369" spans="1:13">
      <c r="A369" s="96" t="s">
        <v>903</v>
      </c>
      <c r="B369" s="2" t="s">
        <v>577</v>
      </c>
      <c r="C369" s="2" t="s">
        <v>552</v>
      </c>
      <c r="D369" s="2" t="s">
        <v>134</v>
      </c>
      <c r="E369" s="2" t="s">
        <v>149</v>
      </c>
      <c r="F369" s="2" t="s">
        <v>270</v>
      </c>
      <c r="G369" s="2" t="s">
        <v>123</v>
      </c>
      <c r="H369" s="2" t="s">
        <v>166</v>
      </c>
      <c r="I369" s="2" t="s">
        <v>213</v>
      </c>
      <c r="J369" s="2" t="s">
        <v>206</v>
      </c>
      <c r="K369" s="2" t="s">
        <v>145</v>
      </c>
      <c r="L369" s="2" t="s">
        <v>300</v>
      </c>
      <c r="M369" s="2" t="s">
        <v>575</v>
      </c>
    </row>
    <row r="370" spans="1:13">
      <c r="A370" s="96" t="s">
        <v>905</v>
      </c>
      <c r="B370" s="2" t="s">
        <v>500</v>
      </c>
      <c r="C370" s="2" t="s">
        <v>488</v>
      </c>
      <c r="D370" s="2" t="s">
        <v>170</v>
      </c>
      <c r="E370" s="2" t="s">
        <v>266</v>
      </c>
      <c r="F370" s="2" t="s">
        <v>115</v>
      </c>
      <c r="G370" s="2" t="s">
        <v>104</v>
      </c>
      <c r="H370" s="2" t="s">
        <v>245</v>
      </c>
      <c r="I370" s="2" t="s">
        <v>212</v>
      </c>
      <c r="J370" s="2" t="s">
        <v>245</v>
      </c>
      <c r="K370" s="2" t="s">
        <v>173</v>
      </c>
      <c r="L370" s="2" t="s">
        <v>357</v>
      </c>
      <c r="M370" s="2" t="s">
        <v>558</v>
      </c>
    </row>
    <row r="371" spans="1:13">
      <c r="A371" s="96" t="s">
        <v>906</v>
      </c>
      <c r="B371" s="2" t="s">
        <v>655</v>
      </c>
      <c r="C371" s="2" t="s">
        <v>619</v>
      </c>
      <c r="D371" s="2" t="s">
        <v>254</v>
      </c>
      <c r="E371" s="2" t="s">
        <v>193</v>
      </c>
      <c r="F371" s="2" t="s">
        <v>117</v>
      </c>
      <c r="G371" s="2" t="s">
        <v>111</v>
      </c>
      <c r="H371" s="2" t="s">
        <v>166</v>
      </c>
      <c r="I371" s="2" t="s">
        <v>213</v>
      </c>
      <c r="J371" s="2" t="s">
        <v>166</v>
      </c>
      <c r="K371" s="2" t="s">
        <v>145</v>
      </c>
      <c r="L371" s="2" t="s">
        <v>357</v>
      </c>
      <c r="M371" s="2" t="s">
        <v>558</v>
      </c>
    </row>
    <row r="372" spans="1:13">
      <c r="A372" s="96" t="s">
        <v>908</v>
      </c>
      <c r="B372" s="2" t="s">
        <v>593</v>
      </c>
      <c r="C372" s="2" t="s">
        <v>480</v>
      </c>
      <c r="D372" s="2" t="s">
        <v>276</v>
      </c>
      <c r="E372" s="2" t="s">
        <v>265</v>
      </c>
      <c r="F372" s="2" t="s">
        <v>281</v>
      </c>
      <c r="G372" s="2" t="s">
        <v>111</v>
      </c>
      <c r="H372" s="2" t="s">
        <v>150</v>
      </c>
      <c r="I372" s="2" t="s">
        <v>248</v>
      </c>
      <c r="J372" s="2" t="s">
        <v>150</v>
      </c>
      <c r="K372" s="2" t="s">
        <v>131</v>
      </c>
      <c r="L372" s="2" t="s">
        <v>346</v>
      </c>
      <c r="M372" s="2" t="s">
        <v>624</v>
      </c>
    </row>
    <row r="373" spans="1:13">
      <c r="A373" s="96" t="s">
        <v>909</v>
      </c>
      <c r="B373" s="2" t="s">
        <v>567</v>
      </c>
      <c r="C373" s="2" t="s">
        <v>495</v>
      </c>
      <c r="D373" s="2" t="s">
        <v>274</v>
      </c>
      <c r="E373" s="2" t="s">
        <v>118</v>
      </c>
      <c r="F373" s="2" t="s">
        <v>114</v>
      </c>
      <c r="G373" s="2" t="s">
        <v>106</v>
      </c>
      <c r="H373" s="2" t="s">
        <v>206</v>
      </c>
      <c r="I373" s="2" t="s">
        <v>213</v>
      </c>
      <c r="J373" s="2" t="s">
        <v>166</v>
      </c>
      <c r="K373" s="2" t="s">
        <v>119</v>
      </c>
      <c r="L373" s="2" t="s">
        <v>345</v>
      </c>
      <c r="M373" s="2" t="s">
        <v>569</v>
      </c>
    </row>
    <row r="374" spans="1:13">
      <c r="A374" s="96" t="s">
        <v>910</v>
      </c>
      <c r="B374" s="2" t="s">
        <v>470</v>
      </c>
      <c r="C374" s="2" t="s">
        <v>687</v>
      </c>
      <c r="D374" s="2" t="s">
        <v>311</v>
      </c>
      <c r="E374" s="2" t="s">
        <v>204</v>
      </c>
      <c r="F374" s="2" t="s">
        <v>125</v>
      </c>
      <c r="G374" s="2" t="s">
        <v>120</v>
      </c>
      <c r="H374" s="2" t="s">
        <v>206</v>
      </c>
      <c r="I374" s="2" t="s">
        <v>213</v>
      </c>
      <c r="J374" s="2" t="s">
        <v>206</v>
      </c>
      <c r="K374" s="2" t="s">
        <v>119</v>
      </c>
      <c r="L374" s="2" t="s">
        <v>357</v>
      </c>
      <c r="M374" s="2" t="s">
        <v>569</v>
      </c>
    </row>
    <row r="375" spans="1:13">
      <c r="A375" s="96" t="s">
        <v>911</v>
      </c>
      <c r="B375" s="2" t="s">
        <v>487</v>
      </c>
      <c r="C375" s="2" t="s">
        <v>646</v>
      </c>
      <c r="D375" s="2" t="s">
        <v>341</v>
      </c>
      <c r="E375" s="2" t="s">
        <v>193</v>
      </c>
      <c r="F375" s="2" t="s">
        <v>117</v>
      </c>
      <c r="G375" s="2" t="s">
        <v>104</v>
      </c>
      <c r="H375" s="2" t="s">
        <v>200</v>
      </c>
      <c r="I375" s="2" t="s">
        <v>218</v>
      </c>
      <c r="J375" s="2" t="s">
        <v>208</v>
      </c>
      <c r="K375" s="2" t="s">
        <v>131</v>
      </c>
      <c r="L375" s="2" t="s">
        <v>356</v>
      </c>
      <c r="M375" s="2" t="s">
        <v>624</v>
      </c>
    </row>
    <row r="376" spans="1:13">
      <c r="A376" s="96" t="s">
        <v>912</v>
      </c>
      <c r="B376" s="2" t="s">
        <v>478</v>
      </c>
      <c r="C376" s="2" t="s">
        <v>488</v>
      </c>
      <c r="D376" s="2" t="s">
        <v>321</v>
      </c>
      <c r="E376" s="2" t="s">
        <v>193</v>
      </c>
      <c r="F376" s="2" t="s">
        <v>117</v>
      </c>
      <c r="G376" s="2" t="s">
        <v>111</v>
      </c>
      <c r="H376" s="2" t="s">
        <v>200</v>
      </c>
      <c r="I376" s="2" t="s">
        <v>218</v>
      </c>
      <c r="J376" s="2" t="s">
        <v>208</v>
      </c>
      <c r="K376" s="2" t="s">
        <v>131</v>
      </c>
      <c r="L376" s="2" t="s">
        <v>356</v>
      </c>
      <c r="M376" s="2" t="s">
        <v>624</v>
      </c>
    </row>
    <row r="377" spans="1:13">
      <c r="A377" s="96" t="s">
        <v>913</v>
      </c>
      <c r="B377" s="2" t="s">
        <v>470</v>
      </c>
      <c r="C377" s="2" t="s">
        <v>619</v>
      </c>
      <c r="D377" s="2" t="s">
        <v>335</v>
      </c>
      <c r="E377" s="2" t="s">
        <v>149</v>
      </c>
      <c r="F377" s="2" t="s">
        <v>270</v>
      </c>
      <c r="G377" s="2" t="s">
        <v>123</v>
      </c>
      <c r="H377" s="2" t="s">
        <v>150</v>
      </c>
      <c r="I377" s="2" t="s">
        <v>207</v>
      </c>
      <c r="J377" s="2" t="s">
        <v>200</v>
      </c>
      <c r="K377" s="2" t="s">
        <v>173</v>
      </c>
      <c r="L377" s="2" t="s">
        <v>345</v>
      </c>
      <c r="M377" s="2" t="s">
        <v>569</v>
      </c>
    </row>
    <row r="378" spans="1:13">
      <c r="A378" s="96" t="s">
        <v>914</v>
      </c>
      <c r="B378" s="2" t="s">
        <v>519</v>
      </c>
      <c r="C378" s="2" t="s">
        <v>650</v>
      </c>
      <c r="D378" s="2" t="s">
        <v>314</v>
      </c>
      <c r="E378" s="2" t="s">
        <v>203</v>
      </c>
      <c r="F378" s="2" t="s">
        <v>283</v>
      </c>
      <c r="G378" s="2" t="s">
        <v>142</v>
      </c>
      <c r="H378" s="2" t="s">
        <v>248</v>
      </c>
      <c r="I378" s="2" t="s">
        <v>223</v>
      </c>
      <c r="J378" s="2" t="s">
        <v>248</v>
      </c>
      <c r="K378" s="2" t="s">
        <v>209</v>
      </c>
      <c r="L378" s="2" t="s">
        <v>352</v>
      </c>
      <c r="M378" s="2" t="s">
        <v>556</v>
      </c>
    </row>
    <row r="379" spans="1:13">
      <c r="A379" s="96" t="s">
        <v>915</v>
      </c>
      <c r="B379" s="2" t="s">
        <v>547</v>
      </c>
      <c r="C379" s="2" t="s">
        <v>650</v>
      </c>
      <c r="D379" s="2" t="s">
        <v>314</v>
      </c>
      <c r="E379" s="2" t="s">
        <v>203</v>
      </c>
      <c r="F379" s="2" t="s">
        <v>283</v>
      </c>
      <c r="G379" s="2" t="s">
        <v>110</v>
      </c>
      <c r="H379" s="2" t="s">
        <v>213</v>
      </c>
      <c r="I379" s="2" t="s">
        <v>152</v>
      </c>
      <c r="J379" s="2" t="s">
        <v>248</v>
      </c>
      <c r="K379" s="2" t="s">
        <v>244</v>
      </c>
      <c r="L379" s="2" t="s">
        <v>327</v>
      </c>
      <c r="M379" s="2" t="s">
        <v>678</v>
      </c>
    </row>
    <row r="380" spans="1:13">
      <c r="A380" s="96" t="s">
        <v>916</v>
      </c>
      <c r="B380" s="2" t="s">
        <v>537</v>
      </c>
      <c r="C380" s="2" t="s">
        <v>646</v>
      </c>
      <c r="D380" s="2" t="s">
        <v>302</v>
      </c>
      <c r="E380" s="2" t="s">
        <v>204</v>
      </c>
      <c r="F380" s="2" t="s">
        <v>125</v>
      </c>
      <c r="G380" s="2" t="s">
        <v>120</v>
      </c>
      <c r="H380" s="2" t="s">
        <v>218</v>
      </c>
      <c r="I380" s="2" t="s">
        <v>196</v>
      </c>
      <c r="J380" s="2" t="s">
        <v>206</v>
      </c>
      <c r="K380" s="2" t="s">
        <v>202</v>
      </c>
      <c r="L380" s="2" t="s">
        <v>352</v>
      </c>
      <c r="M380" s="2" t="s">
        <v>540</v>
      </c>
    </row>
    <row r="381" spans="1:13">
      <c r="A381" s="96" t="s">
        <v>917</v>
      </c>
      <c r="B381" s="2" t="s">
        <v>537</v>
      </c>
      <c r="C381" s="2" t="s">
        <v>646</v>
      </c>
      <c r="D381" s="2" t="s">
        <v>303</v>
      </c>
      <c r="E381" s="2" t="s">
        <v>118</v>
      </c>
      <c r="F381" s="2" t="s">
        <v>114</v>
      </c>
      <c r="G381" s="2" t="s">
        <v>120</v>
      </c>
      <c r="H381" s="2" t="s">
        <v>218</v>
      </c>
      <c r="I381" s="2" t="s">
        <v>213</v>
      </c>
      <c r="J381" s="2" t="s">
        <v>166</v>
      </c>
      <c r="K381" s="2" t="s">
        <v>141</v>
      </c>
      <c r="L381" s="2" t="s">
        <v>298</v>
      </c>
      <c r="M381" s="2" t="s">
        <v>723</v>
      </c>
    </row>
    <row r="382" spans="1:13">
      <c r="A382" s="96" t="s">
        <v>918</v>
      </c>
      <c r="B382" s="2" t="s">
        <v>551</v>
      </c>
      <c r="C382" s="2" t="s">
        <v>568</v>
      </c>
      <c r="D382" s="2" t="s">
        <v>311</v>
      </c>
      <c r="E382" s="2" t="s">
        <v>266</v>
      </c>
      <c r="F382" s="2" t="s">
        <v>115</v>
      </c>
      <c r="G382" s="2" t="s">
        <v>104</v>
      </c>
      <c r="H382" s="2" t="s">
        <v>208</v>
      </c>
      <c r="I382" s="2" t="s">
        <v>206</v>
      </c>
      <c r="J382" s="2" t="s">
        <v>148</v>
      </c>
      <c r="K382" s="2" t="s">
        <v>112</v>
      </c>
      <c r="L382" s="2" t="s">
        <v>346</v>
      </c>
      <c r="M382" s="2" t="s">
        <v>569</v>
      </c>
    </row>
    <row r="383" spans="1:13">
      <c r="A383" s="96" t="s">
        <v>919</v>
      </c>
      <c r="B383" s="2" t="s">
        <v>614</v>
      </c>
      <c r="C383" s="2" t="s">
        <v>545</v>
      </c>
      <c r="D383" s="2" t="s">
        <v>338</v>
      </c>
      <c r="E383" s="2" t="s">
        <v>204</v>
      </c>
      <c r="F383" s="2" t="s">
        <v>125</v>
      </c>
      <c r="G383" s="2" t="s">
        <v>120</v>
      </c>
      <c r="H383" s="2" t="s">
        <v>206</v>
      </c>
      <c r="I383" s="2" t="s">
        <v>213</v>
      </c>
      <c r="J383" s="2" t="s">
        <v>245</v>
      </c>
      <c r="K383" s="2" t="s">
        <v>141</v>
      </c>
      <c r="L383" s="2" t="s">
        <v>300</v>
      </c>
      <c r="M383" s="2" t="s">
        <v>496</v>
      </c>
    </row>
    <row r="384" spans="1:13">
      <c r="A384" s="96" t="s">
        <v>920</v>
      </c>
      <c r="B384" s="2" t="s">
        <v>544</v>
      </c>
      <c r="C384" s="2" t="s">
        <v>479</v>
      </c>
      <c r="D384" s="2" t="s">
        <v>306</v>
      </c>
      <c r="E384" s="2" t="s">
        <v>226</v>
      </c>
      <c r="F384" s="2" t="s">
        <v>280</v>
      </c>
      <c r="G384" s="2" t="s">
        <v>140</v>
      </c>
      <c r="H384" s="2" t="s">
        <v>166</v>
      </c>
      <c r="I384" s="2" t="s">
        <v>212</v>
      </c>
      <c r="J384" s="2" t="s">
        <v>245</v>
      </c>
      <c r="K384" s="2" t="s">
        <v>141</v>
      </c>
      <c r="L384" s="2" t="s">
        <v>331</v>
      </c>
      <c r="M384" s="2" t="s">
        <v>723</v>
      </c>
    </row>
    <row r="385" spans="1:13">
      <c r="A385" s="96" t="s">
        <v>921</v>
      </c>
      <c r="B385" s="2" t="s">
        <v>567</v>
      </c>
      <c r="C385" s="2" t="s">
        <v>488</v>
      </c>
      <c r="D385" s="2" t="s">
        <v>293</v>
      </c>
      <c r="E385" s="2" t="s">
        <v>174</v>
      </c>
      <c r="F385" s="2" t="s">
        <v>139</v>
      </c>
      <c r="G385" s="2" t="s">
        <v>307</v>
      </c>
      <c r="H385" s="2" t="s">
        <v>148</v>
      </c>
      <c r="I385" s="2" t="s">
        <v>166</v>
      </c>
      <c r="J385" s="2" t="s">
        <v>168</v>
      </c>
      <c r="K385" s="2" t="s">
        <v>112</v>
      </c>
      <c r="L385" s="2" t="s">
        <v>345</v>
      </c>
      <c r="M385" s="2" t="s">
        <v>496</v>
      </c>
    </row>
    <row r="386" spans="1:13">
      <c r="A386" s="96" t="s">
        <v>922</v>
      </c>
      <c r="B386" s="2" t="s">
        <v>567</v>
      </c>
      <c r="C386" s="2" t="s">
        <v>488</v>
      </c>
      <c r="D386" s="2" t="s">
        <v>293</v>
      </c>
      <c r="E386" s="2" t="s">
        <v>267</v>
      </c>
      <c r="F386" s="2" t="s">
        <v>272</v>
      </c>
      <c r="G386" s="2" t="s">
        <v>283</v>
      </c>
      <c r="H386" s="2" t="s">
        <v>171</v>
      </c>
      <c r="I386" s="2" t="s">
        <v>150</v>
      </c>
      <c r="J386" s="2" t="s">
        <v>244</v>
      </c>
      <c r="K386" s="2" t="s">
        <v>176</v>
      </c>
      <c r="L386" s="2" t="s">
        <v>356</v>
      </c>
      <c r="M386" s="2" t="s">
        <v>579</v>
      </c>
    </row>
    <row r="387" spans="1:13">
      <c r="A387" s="96" t="s">
        <v>923</v>
      </c>
      <c r="B387" s="2" t="s">
        <v>487</v>
      </c>
      <c r="C387" s="2" t="s">
        <v>491</v>
      </c>
      <c r="D387" s="2" t="s">
        <v>250</v>
      </c>
      <c r="E387" s="2" t="s">
        <v>142</v>
      </c>
      <c r="F387" s="2" t="s">
        <v>279</v>
      </c>
      <c r="G387" s="2" t="s">
        <v>108</v>
      </c>
      <c r="H387" s="2" t="s">
        <v>222</v>
      </c>
      <c r="I387" s="2" t="s">
        <v>208</v>
      </c>
      <c r="J387" s="2" t="s">
        <v>222</v>
      </c>
      <c r="K387" s="2" t="s">
        <v>203</v>
      </c>
      <c r="L387" s="2" t="s">
        <v>314</v>
      </c>
      <c r="M387" s="2" t="s">
        <v>624</v>
      </c>
    </row>
    <row r="388" spans="1:13">
      <c r="A388" s="96" t="s">
        <v>924</v>
      </c>
      <c r="B388" s="2" t="s">
        <v>493</v>
      </c>
      <c r="C388" s="2" t="s">
        <v>595</v>
      </c>
      <c r="D388" s="2" t="s">
        <v>177</v>
      </c>
      <c r="E388" s="2" t="s">
        <v>142</v>
      </c>
      <c r="F388" s="2" t="s">
        <v>159</v>
      </c>
      <c r="G388" s="2" t="s">
        <v>108</v>
      </c>
      <c r="H388" s="2" t="s">
        <v>209</v>
      </c>
      <c r="I388" s="2" t="s">
        <v>208</v>
      </c>
      <c r="J388" s="2" t="s">
        <v>222</v>
      </c>
      <c r="K388" s="2" t="s">
        <v>133</v>
      </c>
      <c r="L388" s="2" t="s">
        <v>269</v>
      </c>
      <c r="M388" s="2" t="s">
        <v>579</v>
      </c>
    </row>
    <row r="389" spans="1:13">
      <c r="A389" s="96" t="s">
        <v>925</v>
      </c>
      <c r="B389" s="2" t="s">
        <v>532</v>
      </c>
      <c r="C389" s="2" t="s">
        <v>516</v>
      </c>
      <c r="D389" s="2" t="s">
        <v>246</v>
      </c>
      <c r="E389" s="2" t="s">
        <v>174</v>
      </c>
      <c r="F389" s="2" t="s">
        <v>139</v>
      </c>
      <c r="G389" s="2" t="s">
        <v>127</v>
      </c>
      <c r="H389" s="2" t="s">
        <v>148</v>
      </c>
      <c r="I389" s="2" t="s">
        <v>166</v>
      </c>
      <c r="J389" s="2" t="s">
        <v>171</v>
      </c>
      <c r="K389" s="2" t="s">
        <v>169</v>
      </c>
      <c r="L389" s="2" t="s">
        <v>269</v>
      </c>
      <c r="M389" s="2" t="s">
        <v>579</v>
      </c>
    </row>
    <row r="390" spans="1:13">
      <c r="A390" s="96" t="s">
        <v>926</v>
      </c>
      <c r="B390" s="2" t="s">
        <v>687</v>
      </c>
      <c r="C390" s="2" t="s">
        <v>521</v>
      </c>
      <c r="D390" s="2" t="s">
        <v>122</v>
      </c>
      <c r="E390" s="2" t="s">
        <v>266</v>
      </c>
      <c r="F390" s="2" t="s">
        <v>103</v>
      </c>
      <c r="G390" s="2" t="s">
        <v>104</v>
      </c>
      <c r="H390" s="2" t="s">
        <v>208</v>
      </c>
      <c r="I390" s="2" t="s">
        <v>206</v>
      </c>
      <c r="J390" s="2" t="s">
        <v>168</v>
      </c>
      <c r="K390" s="2" t="s">
        <v>144</v>
      </c>
      <c r="L390" s="2" t="s">
        <v>356</v>
      </c>
      <c r="M390" s="2" t="s">
        <v>623</v>
      </c>
    </row>
    <row r="391" spans="1:13">
      <c r="A391" s="76" t="s">
        <v>4</v>
      </c>
      <c r="B391" s="2" t="s">
        <v>693</v>
      </c>
      <c r="C391" s="2" t="s">
        <v>614</v>
      </c>
      <c r="D391" s="2" t="s">
        <v>287</v>
      </c>
      <c r="E391" s="2" t="s">
        <v>213</v>
      </c>
      <c r="F391" s="2" t="s">
        <v>265</v>
      </c>
      <c r="G391" s="2" t="s">
        <v>144</v>
      </c>
      <c r="H391" s="2" t="s">
        <v>256</v>
      </c>
      <c r="I391" s="2" t="s">
        <v>255</v>
      </c>
      <c r="J391" s="2" t="s">
        <v>194</v>
      </c>
      <c r="K391" s="2" t="s">
        <v>224</v>
      </c>
      <c r="L391" s="2" t="s">
        <v>313</v>
      </c>
      <c r="M391" s="2" t="s">
        <v>683</v>
      </c>
    </row>
    <row r="392" spans="1:13">
      <c r="A392" s="96" t="s">
        <v>824</v>
      </c>
      <c r="B392" s="2" t="s">
        <v>596</v>
      </c>
      <c r="C392" s="2" t="s">
        <v>580</v>
      </c>
      <c r="D392" s="2" t="s">
        <v>306</v>
      </c>
      <c r="E392" s="2" t="s">
        <v>195</v>
      </c>
      <c r="F392" s="2" t="s">
        <v>131</v>
      </c>
      <c r="G392" s="2" t="s">
        <v>208</v>
      </c>
      <c r="H392" s="2" t="s">
        <v>191</v>
      </c>
      <c r="I392" s="2" t="s">
        <v>122</v>
      </c>
      <c r="J392" s="2" t="s">
        <v>191</v>
      </c>
      <c r="K392" s="2" t="s">
        <v>247</v>
      </c>
      <c r="L392" s="2" t="s">
        <v>348</v>
      </c>
      <c r="M392" s="2" t="s">
        <v>595</v>
      </c>
    </row>
    <row r="393" spans="1:13">
      <c r="A393" s="96" t="s">
        <v>826</v>
      </c>
      <c r="B393" s="2" t="s">
        <v>754</v>
      </c>
      <c r="C393" s="2" t="s">
        <v>611</v>
      </c>
      <c r="D393" s="2" t="s">
        <v>354</v>
      </c>
      <c r="E393" s="2" t="s">
        <v>194</v>
      </c>
      <c r="F393" s="2" t="s">
        <v>202</v>
      </c>
      <c r="G393" s="2" t="s">
        <v>206</v>
      </c>
      <c r="H393" s="2" t="s">
        <v>122</v>
      </c>
      <c r="I393" s="2" t="s">
        <v>254</v>
      </c>
      <c r="J393" s="2" t="s">
        <v>217</v>
      </c>
      <c r="K393" s="2" t="s">
        <v>252</v>
      </c>
      <c r="L393" s="2" t="s">
        <v>386</v>
      </c>
      <c r="M393" s="2" t="s">
        <v>494</v>
      </c>
    </row>
    <row r="394" spans="1:13">
      <c r="A394" s="96" t="s">
        <v>828</v>
      </c>
      <c r="B394" s="2" t="s">
        <v>648</v>
      </c>
      <c r="C394" s="2" t="s">
        <v>618</v>
      </c>
      <c r="D394" s="2" t="s">
        <v>376</v>
      </c>
      <c r="E394" s="2" t="s">
        <v>256</v>
      </c>
      <c r="F394" s="2" t="s">
        <v>222</v>
      </c>
      <c r="G394" s="2" t="s">
        <v>206</v>
      </c>
      <c r="H394" s="2" t="s">
        <v>122</v>
      </c>
      <c r="I394" s="2" t="s">
        <v>254</v>
      </c>
      <c r="J394" s="2" t="s">
        <v>217</v>
      </c>
      <c r="K394" s="2" t="s">
        <v>151</v>
      </c>
      <c r="L394" s="2" t="s">
        <v>386</v>
      </c>
      <c r="M394" s="2" t="s">
        <v>494</v>
      </c>
    </row>
    <row r="395" spans="1:13">
      <c r="A395" s="96" t="s">
        <v>830</v>
      </c>
      <c r="B395" s="2" t="s">
        <v>648</v>
      </c>
      <c r="C395" s="2" t="s">
        <v>618</v>
      </c>
      <c r="D395" s="2" t="s">
        <v>376</v>
      </c>
      <c r="E395" s="2" t="s">
        <v>215</v>
      </c>
      <c r="F395" s="2" t="s">
        <v>222</v>
      </c>
      <c r="G395" s="2" t="s">
        <v>206</v>
      </c>
      <c r="H395" s="2" t="s">
        <v>122</v>
      </c>
      <c r="I395" s="2" t="s">
        <v>254</v>
      </c>
      <c r="J395" s="2" t="s">
        <v>249</v>
      </c>
      <c r="K395" s="2" t="s">
        <v>255</v>
      </c>
      <c r="L395" s="2" t="s">
        <v>421</v>
      </c>
      <c r="M395" s="2" t="s">
        <v>494</v>
      </c>
    </row>
    <row r="396" spans="1:13">
      <c r="A396" s="96" t="s">
        <v>834</v>
      </c>
      <c r="B396" s="2" t="s">
        <v>770</v>
      </c>
      <c r="C396" s="2" t="s">
        <v>604</v>
      </c>
      <c r="D396" s="2" t="s">
        <v>356</v>
      </c>
      <c r="E396" s="2" t="s">
        <v>199</v>
      </c>
      <c r="F396" s="2" t="s">
        <v>144</v>
      </c>
      <c r="G396" s="2" t="s">
        <v>148</v>
      </c>
      <c r="H396" s="2" t="s">
        <v>257</v>
      </c>
      <c r="I396" s="2" t="s">
        <v>217</v>
      </c>
      <c r="J396" s="2" t="s">
        <v>221</v>
      </c>
      <c r="K396" s="2" t="s">
        <v>256</v>
      </c>
      <c r="L396" s="2" t="s">
        <v>268</v>
      </c>
      <c r="M396" s="2" t="s">
        <v>594</v>
      </c>
    </row>
    <row r="397" spans="1:13">
      <c r="A397" s="96" t="s">
        <v>836</v>
      </c>
      <c r="B397" s="2" t="s">
        <v>733</v>
      </c>
      <c r="C397" s="2" t="s">
        <v>767</v>
      </c>
      <c r="D397" s="2" t="s">
        <v>298</v>
      </c>
      <c r="E397" s="2" t="s">
        <v>227</v>
      </c>
      <c r="F397" s="2" t="s">
        <v>145</v>
      </c>
      <c r="G397" s="2" t="s">
        <v>150</v>
      </c>
      <c r="H397" s="2" t="s">
        <v>211</v>
      </c>
      <c r="I397" s="2" t="s">
        <v>246</v>
      </c>
      <c r="J397" s="2" t="s">
        <v>191</v>
      </c>
      <c r="K397" s="2" t="s">
        <v>247</v>
      </c>
      <c r="L397" s="2" t="s">
        <v>361</v>
      </c>
      <c r="M397" s="2" t="s">
        <v>503</v>
      </c>
    </row>
    <row r="398" spans="1:13">
      <c r="A398" s="96" t="s">
        <v>839</v>
      </c>
      <c r="B398" s="2" t="s">
        <v>746</v>
      </c>
      <c r="C398" s="2" t="s">
        <v>671</v>
      </c>
      <c r="D398" s="2" t="s">
        <v>345</v>
      </c>
      <c r="E398" s="2" t="s">
        <v>256</v>
      </c>
      <c r="F398" s="2" t="s">
        <v>202</v>
      </c>
      <c r="G398" s="2" t="s">
        <v>206</v>
      </c>
      <c r="H398" s="2" t="s">
        <v>217</v>
      </c>
      <c r="I398" s="2" t="s">
        <v>259</v>
      </c>
      <c r="J398" s="2" t="s">
        <v>249</v>
      </c>
      <c r="K398" s="2" t="s">
        <v>255</v>
      </c>
      <c r="L398" s="2" t="s">
        <v>353</v>
      </c>
      <c r="M398" s="2" t="s">
        <v>568</v>
      </c>
    </row>
    <row r="399" spans="1:13">
      <c r="A399" s="96" t="s">
        <v>841</v>
      </c>
      <c r="B399" s="2" t="s">
        <v>492</v>
      </c>
      <c r="C399" s="2" t="s">
        <v>581</v>
      </c>
      <c r="D399" s="2" t="s">
        <v>314</v>
      </c>
      <c r="E399" s="2" t="s">
        <v>214</v>
      </c>
      <c r="F399" s="2" t="s">
        <v>173</v>
      </c>
      <c r="G399" s="2" t="s">
        <v>208</v>
      </c>
      <c r="H399" s="2" t="s">
        <v>257</v>
      </c>
      <c r="I399" s="2" t="s">
        <v>217</v>
      </c>
      <c r="J399" s="2" t="s">
        <v>257</v>
      </c>
      <c r="K399" s="2" t="s">
        <v>256</v>
      </c>
      <c r="L399" s="2" t="s">
        <v>376</v>
      </c>
      <c r="M399" s="2" t="s">
        <v>488</v>
      </c>
    </row>
    <row r="400" spans="1:13">
      <c r="A400" s="96" t="s">
        <v>842</v>
      </c>
      <c r="B400" s="2" t="s">
        <v>735</v>
      </c>
      <c r="C400" s="2" t="s">
        <v>576</v>
      </c>
      <c r="D400" s="2" t="s">
        <v>315</v>
      </c>
      <c r="E400" s="2" t="s">
        <v>195</v>
      </c>
      <c r="F400" s="2" t="s">
        <v>131</v>
      </c>
      <c r="G400" s="2" t="s">
        <v>148</v>
      </c>
      <c r="H400" s="2" t="s">
        <v>221</v>
      </c>
      <c r="I400" s="2" t="s">
        <v>217</v>
      </c>
      <c r="J400" s="2" t="s">
        <v>221</v>
      </c>
      <c r="K400" s="2" t="s">
        <v>256</v>
      </c>
      <c r="L400" s="2" t="s">
        <v>361</v>
      </c>
      <c r="M400" s="2" t="s">
        <v>488</v>
      </c>
    </row>
    <row r="401" spans="1:13">
      <c r="A401" s="96" t="s">
        <v>844</v>
      </c>
      <c r="B401" s="2" t="s">
        <v>771</v>
      </c>
      <c r="C401" s="2" t="s">
        <v>680</v>
      </c>
      <c r="D401" s="2" t="s">
        <v>397</v>
      </c>
      <c r="E401" s="2" t="s">
        <v>216</v>
      </c>
      <c r="F401" s="2" t="s">
        <v>141</v>
      </c>
      <c r="G401" s="2" t="s">
        <v>245</v>
      </c>
      <c r="H401" s="2" t="s">
        <v>211</v>
      </c>
      <c r="I401" s="2" t="s">
        <v>246</v>
      </c>
      <c r="J401" s="2" t="s">
        <v>211</v>
      </c>
      <c r="K401" s="2" t="s">
        <v>242</v>
      </c>
      <c r="L401" s="2" t="s">
        <v>367</v>
      </c>
      <c r="M401" s="2" t="s">
        <v>616</v>
      </c>
    </row>
    <row r="402" spans="1:13">
      <c r="A402" s="96" t="s">
        <v>847</v>
      </c>
      <c r="B402" s="2" t="s">
        <v>625</v>
      </c>
      <c r="C402" s="2" t="s">
        <v>611</v>
      </c>
      <c r="D402" s="2" t="s">
        <v>352</v>
      </c>
      <c r="E402" s="2" t="s">
        <v>247</v>
      </c>
      <c r="F402" s="2" t="s">
        <v>244</v>
      </c>
      <c r="G402" s="2" t="s">
        <v>207</v>
      </c>
      <c r="H402" s="2" t="s">
        <v>246</v>
      </c>
      <c r="I402" s="2" t="s">
        <v>241</v>
      </c>
      <c r="J402" s="2" t="s">
        <v>122</v>
      </c>
      <c r="K402" s="2" t="s">
        <v>151</v>
      </c>
      <c r="L402" s="2" t="s">
        <v>421</v>
      </c>
      <c r="M402" s="2" t="s">
        <v>615</v>
      </c>
    </row>
    <row r="403" spans="1:13">
      <c r="A403" s="96" t="s">
        <v>851</v>
      </c>
      <c r="B403" s="2" t="s">
        <v>754</v>
      </c>
      <c r="C403" s="2" t="s">
        <v>757</v>
      </c>
      <c r="D403" s="2" t="s">
        <v>331</v>
      </c>
      <c r="E403" s="2" t="s">
        <v>242</v>
      </c>
      <c r="F403" s="2" t="s">
        <v>222</v>
      </c>
      <c r="G403" s="2" t="s">
        <v>218</v>
      </c>
      <c r="H403" s="2" t="s">
        <v>217</v>
      </c>
      <c r="I403" s="2" t="s">
        <v>259</v>
      </c>
      <c r="J403" s="2" t="s">
        <v>249</v>
      </c>
      <c r="K403" s="2" t="s">
        <v>255</v>
      </c>
      <c r="L403" s="2" t="s">
        <v>351</v>
      </c>
      <c r="M403" s="2" t="s">
        <v>479</v>
      </c>
    </row>
    <row r="404" spans="1:13">
      <c r="A404" s="96" t="s">
        <v>852</v>
      </c>
      <c r="B404" s="2" t="s">
        <v>737</v>
      </c>
      <c r="C404" s="2" t="s">
        <v>660</v>
      </c>
      <c r="D404" s="2" t="s">
        <v>284</v>
      </c>
      <c r="E404" s="2" t="s">
        <v>252</v>
      </c>
      <c r="F404" s="2" t="s">
        <v>168</v>
      </c>
      <c r="G404" s="2" t="s">
        <v>212</v>
      </c>
      <c r="H404" s="2" t="s">
        <v>170</v>
      </c>
      <c r="I404" s="2" t="s">
        <v>241</v>
      </c>
      <c r="J404" s="2" t="s">
        <v>246</v>
      </c>
      <c r="K404" s="2" t="s">
        <v>135</v>
      </c>
      <c r="L404" s="2" t="s">
        <v>362</v>
      </c>
      <c r="M404" s="2" t="s">
        <v>479</v>
      </c>
    </row>
    <row r="405" spans="1:13">
      <c r="A405" s="96" t="s">
        <v>854</v>
      </c>
      <c r="B405" s="2" t="s">
        <v>617</v>
      </c>
      <c r="C405" s="2" t="s">
        <v>550</v>
      </c>
      <c r="D405" s="2" t="s">
        <v>300</v>
      </c>
      <c r="E405" s="2" t="s">
        <v>247</v>
      </c>
      <c r="F405" s="2" t="s">
        <v>209</v>
      </c>
      <c r="G405" s="2" t="s">
        <v>218</v>
      </c>
      <c r="H405" s="2" t="s">
        <v>217</v>
      </c>
      <c r="I405" s="2" t="s">
        <v>259</v>
      </c>
      <c r="J405" s="2" t="s">
        <v>249</v>
      </c>
      <c r="K405" s="2" t="s">
        <v>255</v>
      </c>
      <c r="L405" s="2" t="s">
        <v>304</v>
      </c>
      <c r="M405" s="2" t="s">
        <v>532</v>
      </c>
    </row>
    <row r="406" spans="1:13">
      <c r="A406" s="96" t="s">
        <v>856</v>
      </c>
      <c r="B406" s="2" t="s">
        <v>620</v>
      </c>
      <c r="C406" s="2" t="s">
        <v>542</v>
      </c>
      <c r="D406" s="2" t="s">
        <v>292</v>
      </c>
      <c r="E406" s="2" t="s">
        <v>221</v>
      </c>
      <c r="F406" s="2" t="s">
        <v>206</v>
      </c>
      <c r="G406" s="2" t="s">
        <v>152</v>
      </c>
      <c r="H406" s="2" t="s">
        <v>134</v>
      </c>
      <c r="I406" s="2" t="s">
        <v>276</v>
      </c>
      <c r="J406" s="2" t="s">
        <v>241</v>
      </c>
      <c r="K406" s="2" t="s">
        <v>221</v>
      </c>
      <c r="L406" s="2" t="s">
        <v>349</v>
      </c>
      <c r="M406" s="2" t="s">
        <v>515</v>
      </c>
    </row>
    <row r="407" spans="1:13">
      <c r="A407" s="96" t="s">
        <v>858</v>
      </c>
      <c r="B407" s="2" t="s">
        <v>716</v>
      </c>
      <c r="C407" s="2" t="s">
        <v>477</v>
      </c>
      <c r="D407" s="2" t="s">
        <v>291</v>
      </c>
      <c r="E407" s="2" t="s">
        <v>257</v>
      </c>
      <c r="F407" s="2" t="s">
        <v>218</v>
      </c>
      <c r="G407" s="2" t="s">
        <v>263</v>
      </c>
      <c r="H407" s="2" t="s">
        <v>250</v>
      </c>
      <c r="I407" s="2" t="s">
        <v>210</v>
      </c>
      <c r="J407" s="2" t="s">
        <v>177</v>
      </c>
      <c r="K407" s="2" t="s">
        <v>191</v>
      </c>
      <c r="L407" s="2" t="s">
        <v>333</v>
      </c>
      <c r="M407" s="2" t="s">
        <v>501</v>
      </c>
    </row>
    <row r="408" spans="1:13">
      <c r="A408" s="96" t="s">
        <v>861</v>
      </c>
      <c r="B408" s="2" t="s">
        <v>548</v>
      </c>
      <c r="C408" s="2" t="s">
        <v>702</v>
      </c>
      <c r="D408" s="2" t="s">
        <v>347</v>
      </c>
      <c r="E408" s="2" t="s">
        <v>221</v>
      </c>
      <c r="F408" s="2" t="s">
        <v>218</v>
      </c>
      <c r="G408" s="2" t="s">
        <v>263</v>
      </c>
      <c r="H408" s="2" t="s">
        <v>177</v>
      </c>
      <c r="I408" s="2" t="s">
        <v>293</v>
      </c>
      <c r="J408" s="2" t="s">
        <v>177</v>
      </c>
      <c r="K408" s="2" t="s">
        <v>191</v>
      </c>
      <c r="L408" s="2" t="s">
        <v>398</v>
      </c>
      <c r="M408" s="2" t="s">
        <v>661</v>
      </c>
    </row>
    <row r="409" spans="1:13">
      <c r="A409" s="96" t="s">
        <v>865</v>
      </c>
      <c r="B409" s="2" t="s">
        <v>760</v>
      </c>
      <c r="C409" s="2" t="s">
        <v>563</v>
      </c>
      <c r="D409" s="2" t="s">
        <v>379</v>
      </c>
      <c r="E409" s="2" t="s">
        <v>197</v>
      </c>
      <c r="F409" s="2" t="s">
        <v>208</v>
      </c>
      <c r="G409" s="2" t="s">
        <v>130</v>
      </c>
      <c r="H409" s="2" t="s">
        <v>241</v>
      </c>
      <c r="I409" s="2" t="s">
        <v>341</v>
      </c>
      <c r="J409" s="2" t="s">
        <v>254</v>
      </c>
      <c r="K409" s="2" t="s">
        <v>201</v>
      </c>
      <c r="L409" s="2" t="s">
        <v>291</v>
      </c>
      <c r="M409" s="2" t="s">
        <v>545</v>
      </c>
    </row>
    <row r="410" spans="1:13">
      <c r="A410" s="96" t="s">
        <v>866</v>
      </c>
      <c r="B410" s="2" t="s">
        <v>711</v>
      </c>
      <c r="C410" s="2" t="s">
        <v>530</v>
      </c>
      <c r="D410" s="2" t="s">
        <v>379</v>
      </c>
      <c r="E410" s="2" t="s">
        <v>197</v>
      </c>
      <c r="F410" s="2" t="s">
        <v>208</v>
      </c>
      <c r="G410" s="2" t="s">
        <v>196</v>
      </c>
      <c r="H410" s="2" t="s">
        <v>259</v>
      </c>
      <c r="I410" s="2" t="s">
        <v>134</v>
      </c>
      <c r="J410" s="2" t="s">
        <v>246</v>
      </c>
      <c r="K410" s="2" t="s">
        <v>135</v>
      </c>
      <c r="L410" s="2" t="s">
        <v>371</v>
      </c>
      <c r="M410" s="2" t="s">
        <v>594</v>
      </c>
    </row>
    <row r="411" spans="1:13">
      <c r="A411" s="96" t="s">
        <v>868</v>
      </c>
      <c r="B411" s="2" t="s">
        <v>670</v>
      </c>
      <c r="C411" s="2" t="s">
        <v>693</v>
      </c>
      <c r="D411" s="2" t="s">
        <v>350</v>
      </c>
      <c r="E411" s="2" t="s">
        <v>216</v>
      </c>
      <c r="F411" s="2" t="s">
        <v>145</v>
      </c>
      <c r="G411" s="2" t="s">
        <v>150</v>
      </c>
      <c r="H411" s="2" t="s">
        <v>191</v>
      </c>
      <c r="I411" s="2" t="s">
        <v>122</v>
      </c>
      <c r="J411" s="2" t="s">
        <v>257</v>
      </c>
      <c r="K411" s="2" t="s">
        <v>256</v>
      </c>
      <c r="L411" s="2" t="s">
        <v>354</v>
      </c>
      <c r="M411" s="2" t="s">
        <v>517</v>
      </c>
    </row>
    <row r="412" spans="1:13">
      <c r="A412" s="96" t="s">
        <v>871</v>
      </c>
      <c r="B412" s="2" t="s">
        <v>744</v>
      </c>
      <c r="C412" s="2" t="s">
        <v>576</v>
      </c>
      <c r="D412" s="2" t="s">
        <v>319</v>
      </c>
      <c r="E412" s="2" t="s">
        <v>167</v>
      </c>
      <c r="F412" s="2" t="s">
        <v>112</v>
      </c>
      <c r="G412" s="2" t="s">
        <v>148</v>
      </c>
      <c r="H412" s="2" t="s">
        <v>201</v>
      </c>
      <c r="I412" s="2" t="s">
        <v>253</v>
      </c>
      <c r="J412" s="2" t="s">
        <v>201</v>
      </c>
      <c r="K412" s="2" t="s">
        <v>216</v>
      </c>
      <c r="L412" s="2" t="s">
        <v>350</v>
      </c>
      <c r="M412" s="2" t="s">
        <v>510</v>
      </c>
    </row>
    <row r="413" spans="1:13">
      <c r="A413" s="96" t="s">
        <v>872</v>
      </c>
      <c r="B413" s="2" t="s">
        <v>543</v>
      </c>
      <c r="C413" s="2" t="s">
        <v>572</v>
      </c>
      <c r="D413" s="2" t="s">
        <v>334</v>
      </c>
      <c r="E413" s="2" t="s">
        <v>225</v>
      </c>
      <c r="F413" s="2" t="s">
        <v>261</v>
      </c>
      <c r="G413" s="2" t="s">
        <v>202</v>
      </c>
      <c r="H413" s="2" t="s">
        <v>252</v>
      </c>
      <c r="I413" s="2" t="s">
        <v>201</v>
      </c>
      <c r="J413" s="2" t="s">
        <v>252</v>
      </c>
      <c r="K413" s="2" t="s">
        <v>199</v>
      </c>
      <c r="L413" s="2" t="s">
        <v>297</v>
      </c>
      <c r="M413" s="2" t="s">
        <v>509</v>
      </c>
    </row>
    <row r="414" spans="1:13">
      <c r="A414" s="96" t="s">
        <v>874</v>
      </c>
      <c r="B414" s="2" t="s">
        <v>745</v>
      </c>
      <c r="C414" s="2" t="s">
        <v>638</v>
      </c>
      <c r="D414" s="2" t="s">
        <v>296</v>
      </c>
      <c r="E414" s="2" t="s">
        <v>223</v>
      </c>
      <c r="F414" s="2" t="s">
        <v>266</v>
      </c>
      <c r="G414" s="2" t="s">
        <v>169</v>
      </c>
      <c r="H414" s="2" t="s">
        <v>216</v>
      </c>
      <c r="I414" s="2" t="s">
        <v>251</v>
      </c>
      <c r="J414" s="2" t="s">
        <v>194</v>
      </c>
      <c r="K414" s="2" t="s">
        <v>262</v>
      </c>
      <c r="L414" s="2" t="s">
        <v>355</v>
      </c>
      <c r="M414" s="2" t="s">
        <v>509</v>
      </c>
    </row>
    <row r="415" spans="1:13">
      <c r="A415" s="96" t="s">
        <v>876</v>
      </c>
      <c r="B415" s="2" t="s">
        <v>611</v>
      </c>
      <c r="C415" s="2" t="s">
        <v>597</v>
      </c>
      <c r="D415" s="2" t="s">
        <v>275</v>
      </c>
      <c r="E415" s="2" t="s">
        <v>212</v>
      </c>
      <c r="F415" s="2" t="s">
        <v>172</v>
      </c>
      <c r="G415" s="2" t="s">
        <v>243</v>
      </c>
      <c r="H415" s="2" t="s">
        <v>195</v>
      </c>
      <c r="I415" s="2" t="s">
        <v>256</v>
      </c>
      <c r="J415" s="2" t="s">
        <v>167</v>
      </c>
      <c r="K415" s="2" t="s">
        <v>152</v>
      </c>
      <c r="L415" s="2" t="s">
        <v>297</v>
      </c>
      <c r="M415" s="2" t="s">
        <v>509</v>
      </c>
    </row>
    <row r="416" spans="1:13">
      <c r="A416" s="96" t="s">
        <v>877</v>
      </c>
      <c r="B416" s="2" t="s">
        <v>693</v>
      </c>
      <c r="C416" s="2" t="s">
        <v>473</v>
      </c>
      <c r="D416" s="2" t="s">
        <v>284</v>
      </c>
      <c r="E416" s="2" t="s">
        <v>130</v>
      </c>
      <c r="F416" s="2" t="s">
        <v>174</v>
      </c>
      <c r="G416" s="2" t="s">
        <v>133</v>
      </c>
      <c r="H416" s="2" t="s">
        <v>214</v>
      </c>
      <c r="I416" s="2" t="s">
        <v>242</v>
      </c>
      <c r="J416" s="2" t="s">
        <v>214</v>
      </c>
      <c r="K416" s="2" t="s">
        <v>152</v>
      </c>
      <c r="L416" s="2" t="s">
        <v>313</v>
      </c>
      <c r="M416" s="2" t="s">
        <v>521</v>
      </c>
    </row>
    <row r="417" spans="1:13">
      <c r="A417" s="96" t="s">
        <v>879</v>
      </c>
      <c r="B417" s="2" t="s">
        <v>530</v>
      </c>
      <c r="C417" s="2" t="s">
        <v>639</v>
      </c>
      <c r="D417" s="2" t="s">
        <v>301</v>
      </c>
      <c r="E417" s="2" t="s">
        <v>263</v>
      </c>
      <c r="F417" s="2" t="s">
        <v>265</v>
      </c>
      <c r="G417" s="2" t="s">
        <v>144</v>
      </c>
      <c r="H417" s="2" t="s">
        <v>256</v>
      </c>
      <c r="I417" s="2" t="s">
        <v>252</v>
      </c>
      <c r="J417" s="2" t="s">
        <v>256</v>
      </c>
      <c r="K417" s="2" t="s">
        <v>260</v>
      </c>
      <c r="L417" s="2" t="s">
        <v>350</v>
      </c>
      <c r="M417" s="2" t="s">
        <v>529</v>
      </c>
    </row>
    <row r="418" spans="1:13">
      <c r="A418" s="96" t="s">
        <v>881</v>
      </c>
      <c r="B418" s="2" t="s">
        <v>518</v>
      </c>
      <c r="C418" s="2" t="s">
        <v>610</v>
      </c>
      <c r="D418" s="2" t="s">
        <v>352</v>
      </c>
      <c r="E418" s="2" t="s">
        <v>228</v>
      </c>
      <c r="F418" s="2" t="s">
        <v>149</v>
      </c>
      <c r="G418" s="2" t="s">
        <v>144</v>
      </c>
      <c r="H418" s="2" t="s">
        <v>256</v>
      </c>
      <c r="I418" s="2" t="s">
        <v>252</v>
      </c>
      <c r="J418" s="2" t="s">
        <v>256</v>
      </c>
      <c r="K418" s="2" t="s">
        <v>260</v>
      </c>
      <c r="L418" s="2" t="s">
        <v>361</v>
      </c>
      <c r="M418" s="2" t="s">
        <v>574</v>
      </c>
    </row>
    <row r="419" spans="1:13">
      <c r="A419" s="96" t="s">
        <v>883</v>
      </c>
      <c r="B419" s="2" t="s">
        <v>535</v>
      </c>
      <c r="C419" s="2" t="s">
        <v>590</v>
      </c>
      <c r="D419" s="2" t="s">
        <v>346</v>
      </c>
      <c r="E419" s="2" t="s">
        <v>223</v>
      </c>
      <c r="F419" s="2" t="s">
        <v>193</v>
      </c>
      <c r="G419" s="2" t="s">
        <v>169</v>
      </c>
      <c r="H419" s="2" t="s">
        <v>194</v>
      </c>
      <c r="I419" s="2" t="s">
        <v>251</v>
      </c>
      <c r="J419" s="2" t="s">
        <v>216</v>
      </c>
      <c r="K419" s="2" t="s">
        <v>228</v>
      </c>
      <c r="L419" s="2" t="s">
        <v>348</v>
      </c>
      <c r="M419" s="2" t="s">
        <v>502</v>
      </c>
    </row>
    <row r="420" spans="1:13">
      <c r="A420" s="96" t="s">
        <v>884</v>
      </c>
      <c r="B420" s="2" t="s">
        <v>607</v>
      </c>
      <c r="C420" s="2" t="s">
        <v>499</v>
      </c>
      <c r="D420" s="2" t="s">
        <v>331</v>
      </c>
      <c r="E420" s="2" t="s">
        <v>264</v>
      </c>
      <c r="F420" s="2" t="s">
        <v>266</v>
      </c>
      <c r="G420" s="2" t="s">
        <v>169</v>
      </c>
      <c r="H420" s="2" t="s">
        <v>216</v>
      </c>
      <c r="I420" s="2" t="s">
        <v>251</v>
      </c>
      <c r="J420" s="2" t="s">
        <v>227</v>
      </c>
      <c r="K420" s="2" t="s">
        <v>263</v>
      </c>
      <c r="L420" s="2" t="s">
        <v>350</v>
      </c>
      <c r="M420" s="2" t="s">
        <v>516</v>
      </c>
    </row>
    <row r="421" spans="1:13">
      <c r="A421" s="96" t="s">
        <v>887</v>
      </c>
      <c r="B421" s="2" t="s">
        <v>573</v>
      </c>
      <c r="C421" s="2" t="s">
        <v>653</v>
      </c>
      <c r="D421" s="2" t="s">
        <v>296</v>
      </c>
      <c r="E421" s="2" t="s">
        <v>263</v>
      </c>
      <c r="F421" s="2" t="s">
        <v>149</v>
      </c>
      <c r="G421" s="2" t="s">
        <v>144</v>
      </c>
      <c r="H421" s="2" t="s">
        <v>215</v>
      </c>
      <c r="I421" s="2" t="s">
        <v>252</v>
      </c>
      <c r="J421" s="2" t="s">
        <v>194</v>
      </c>
      <c r="K421" s="2" t="s">
        <v>262</v>
      </c>
      <c r="L421" s="2" t="s">
        <v>365</v>
      </c>
      <c r="M421" s="2" t="s">
        <v>516</v>
      </c>
    </row>
    <row r="422" spans="1:13">
      <c r="A422" s="96" t="s">
        <v>889</v>
      </c>
      <c r="B422" s="2" t="s">
        <v>634</v>
      </c>
      <c r="C422" s="2" t="s">
        <v>710</v>
      </c>
      <c r="D422" s="2" t="s">
        <v>357</v>
      </c>
      <c r="E422" s="2" t="s">
        <v>196</v>
      </c>
      <c r="F422" s="2" t="s">
        <v>136</v>
      </c>
      <c r="G422" s="2" t="s">
        <v>176</v>
      </c>
      <c r="H422" s="2" t="s">
        <v>216</v>
      </c>
      <c r="I422" s="2" t="s">
        <v>247</v>
      </c>
      <c r="J422" s="2" t="s">
        <v>227</v>
      </c>
      <c r="K422" s="2" t="s">
        <v>152</v>
      </c>
      <c r="L422" s="2" t="s">
        <v>355</v>
      </c>
      <c r="M422" s="2" t="s">
        <v>560</v>
      </c>
    </row>
    <row r="423" spans="1:13">
      <c r="A423" s="96" t="s">
        <v>891</v>
      </c>
      <c r="B423" s="2" t="s">
        <v>598</v>
      </c>
      <c r="C423" s="2" t="s">
        <v>470</v>
      </c>
      <c r="D423" s="2" t="s">
        <v>287</v>
      </c>
      <c r="E423" s="2" t="s">
        <v>248</v>
      </c>
      <c r="F423" s="2" t="s">
        <v>267</v>
      </c>
      <c r="G423" s="2" t="s">
        <v>203</v>
      </c>
      <c r="H423" s="2" t="s">
        <v>167</v>
      </c>
      <c r="I423" s="2" t="s">
        <v>215</v>
      </c>
      <c r="J423" s="2" t="s">
        <v>195</v>
      </c>
      <c r="K423" s="2" t="s">
        <v>130</v>
      </c>
      <c r="L423" s="2" t="s">
        <v>319</v>
      </c>
      <c r="M423" s="2" t="s">
        <v>554</v>
      </c>
    </row>
    <row r="424" spans="1:13">
      <c r="A424" s="96" t="s">
        <v>893</v>
      </c>
      <c r="B424" s="2" t="s">
        <v>728</v>
      </c>
      <c r="C424" s="2" t="s">
        <v>478</v>
      </c>
      <c r="D424" s="2" t="s">
        <v>324</v>
      </c>
      <c r="E424" s="2" t="s">
        <v>218</v>
      </c>
      <c r="F424" s="2" t="s">
        <v>143</v>
      </c>
      <c r="G424" s="2" t="s">
        <v>261</v>
      </c>
      <c r="H424" s="2" t="s">
        <v>199</v>
      </c>
      <c r="I424" s="2" t="s">
        <v>194</v>
      </c>
      <c r="J424" s="2" t="s">
        <v>178</v>
      </c>
      <c r="K424" s="2" t="s">
        <v>196</v>
      </c>
      <c r="L424" s="2" t="s">
        <v>322</v>
      </c>
      <c r="M424" s="2" t="s">
        <v>678</v>
      </c>
    </row>
    <row r="425" spans="1:13">
      <c r="A425" s="96" t="s">
        <v>895</v>
      </c>
      <c r="B425" s="2" t="s">
        <v>473</v>
      </c>
      <c r="C425" s="2" t="s">
        <v>486</v>
      </c>
      <c r="D425" s="2" t="s">
        <v>335</v>
      </c>
      <c r="E425" s="2" t="s">
        <v>208</v>
      </c>
      <c r="F425" s="2" t="s">
        <v>120</v>
      </c>
      <c r="G425" s="2" t="s">
        <v>149</v>
      </c>
      <c r="H425" s="2" t="s">
        <v>219</v>
      </c>
      <c r="I425" s="2" t="s">
        <v>167</v>
      </c>
      <c r="J425" s="2" t="s">
        <v>219</v>
      </c>
      <c r="K425" s="2" t="s">
        <v>207</v>
      </c>
      <c r="L425" s="2" t="s">
        <v>298</v>
      </c>
      <c r="M425" s="2" t="s">
        <v>553</v>
      </c>
    </row>
    <row r="426" spans="1:13">
      <c r="A426" s="96" t="s">
        <v>896</v>
      </c>
      <c r="B426" s="2" t="s">
        <v>675</v>
      </c>
      <c r="C426" s="2" t="s">
        <v>514</v>
      </c>
      <c r="D426" s="2" t="s">
        <v>293</v>
      </c>
      <c r="E426" s="2" t="s">
        <v>209</v>
      </c>
      <c r="F426" s="2" t="s">
        <v>142</v>
      </c>
      <c r="G426" s="2" t="s">
        <v>204</v>
      </c>
      <c r="H426" s="2" t="s">
        <v>195</v>
      </c>
      <c r="I426" s="2" t="s">
        <v>256</v>
      </c>
      <c r="J426" s="2" t="s">
        <v>195</v>
      </c>
      <c r="K426" s="2" t="s">
        <v>264</v>
      </c>
      <c r="L426" s="2" t="s">
        <v>296</v>
      </c>
      <c r="M426" s="2" t="s">
        <v>556</v>
      </c>
    </row>
    <row r="427" spans="1:13">
      <c r="A427" s="96" t="s">
        <v>897</v>
      </c>
      <c r="B427" s="2" t="s">
        <v>537</v>
      </c>
      <c r="C427" s="2" t="s">
        <v>479</v>
      </c>
      <c r="D427" s="2" t="s">
        <v>211</v>
      </c>
      <c r="E427" s="2" t="s">
        <v>141</v>
      </c>
      <c r="F427" s="2" t="s">
        <v>120</v>
      </c>
      <c r="G427" s="2" t="s">
        <v>226</v>
      </c>
      <c r="H427" s="2" t="s">
        <v>178</v>
      </c>
      <c r="I427" s="2" t="s">
        <v>216</v>
      </c>
      <c r="J427" s="2" t="s">
        <v>178</v>
      </c>
      <c r="K427" s="2" t="s">
        <v>213</v>
      </c>
      <c r="L427" s="2" t="s">
        <v>298</v>
      </c>
      <c r="M427" s="2" t="s">
        <v>496</v>
      </c>
    </row>
    <row r="428" spans="1:13">
      <c r="A428" s="96" t="s">
        <v>898</v>
      </c>
      <c r="B428" s="2" t="s">
        <v>707</v>
      </c>
      <c r="C428" s="2" t="s">
        <v>495</v>
      </c>
      <c r="D428" s="2" t="s">
        <v>259</v>
      </c>
      <c r="E428" s="2" t="s">
        <v>131</v>
      </c>
      <c r="F428" s="2" t="s">
        <v>123</v>
      </c>
      <c r="G428" s="2" t="s">
        <v>266</v>
      </c>
      <c r="H428" s="2" t="s">
        <v>260</v>
      </c>
      <c r="I428" s="2" t="s">
        <v>199</v>
      </c>
      <c r="J428" s="2" t="s">
        <v>260</v>
      </c>
      <c r="K428" s="2" t="s">
        <v>206</v>
      </c>
      <c r="L428" s="2" t="s">
        <v>334</v>
      </c>
      <c r="M428" s="2" t="s">
        <v>556</v>
      </c>
    </row>
    <row r="429" spans="1:13">
      <c r="A429" s="96" t="s">
        <v>900</v>
      </c>
      <c r="B429" s="2" t="s">
        <v>689</v>
      </c>
      <c r="C429" s="2" t="s">
        <v>495</v>
      </c>
      <c r="D429" s="2" t="s">
        <v>259</v>
      </c>
      <c r="E429" s="2" t="s">
        <v>112</v>
      </c>
      <c r="F429" s="2" t="s">
        <v>104</v>
      </c>
      <c r="G429" s="2" t="s">
        <v>136</v>
      </c>
      <c r="H429" s="2" t="s">
        <v>262</v>
      </c>
      <c r="I429" s="2" t="s">
        <v>126</v>
      </c>
      <c r="J429" s="2" t="s">
        <v>228</v>
      </c>
      <c r="K429" s="2" t="s">
        <v>245</v>
      </c>
      <c r="L429" s="2" t="s">
        <v>352</v>
      </c>
      <c r="M429" s="2" t="s">
        <v>553</v>
      </c>
    </row>
    <row r="430" spans="1:13">
      <c r="A430" s="96" t="s">
        <v>901</v>
      </c>
      <c r="B430" s="2" t="s">
        <v>474</v>
      </c>
      <c r="C430" s="2" t="s">
        <v>619</v>
      </c>
      <c r="D430" s="2" t="s">
        <v>254</v>
      </c>
      <c r="E430" s="2" t="s">
        <v>144</v>
      </c>
      <c r="F430" s="2" t="s">
        <v>123</v>
      </c>
      <c r="G430" s="2" t="s">
        <v>266</v>
      </c>
      <c r="H430" s="2" t="s">
        <v>224</v>
      </c>
      <c r="I430" s="2" t="s">
        <v>192</v>
      </c>
      <c r="J430" s="2" t="s">
        <v>262</v>
      </c>
      <c r="K430" s="2" t="s">
        <v>166</v>
      </c>
      <c r="L430" s="2" t="s">
        <v>357</v>
      </c>
      <c r="M430" s="2" t="s">
        <v>558</v>
      </c>
    </row>
    <row r="431" spans="1:13">
      <c r="A431" s="96" t="s">
        <v>902</v>
      </c>
      <c r="B431" s="2" t="s">
        <v>591</v>
      </c>
      <c r="C431" s="2" t="s">
        <v>539</v>
      </c>
      <c r="D431" s="2" t="s">
        <v>276</v>
      </c>
      <c r="E431" s="2" t="s">
        <v>222</v>
      </c>
      <c r="F431" s="2" t="s">
        <v>121</v>
      </c>
      <c r="G431" s="2" t="s">
        <v>226</v>
      </c>
      <c r="H431" s="2" t="s">
        <v>126</v>
      </c>
      <c r="I431" s="2" t="s">
        <v>214</v>
      </c>
      <c r="J431" s="2" t="s">
        <v>126</v>
      </c>
      <c r="K431" s="2" t="s">
        <v>248</v>
      </c>
      <c r="L431" s="2" t="s">
        <v>296</v>
      </c>
      <c r="M431" s="2" t="s">
        <v>556</v>
      </c>
    </row>
    <row r="432" spans="1:13">
      <c r="A432" s="96" t="s">
        <v>903</v>
      </c>
      <c r="B432" s="2" t="s">
        <v>487</v>
      </c>
      <c r="C432" s="2" t="s">
        <v>646</v>
      </c>
      <c r="D432" s="2" t="s">
        <v>341</v>
      </c>
      <c r="E432" s="2" t="s">
        <v>141</v>
      </c>
      <c r="F432" s="2" t="s">
        <v>106</v>
      </c>
      <c r="G432" s="2" t="s">
        <v>265</v>
      </c>
      <c r="H432" s="2" t="s">
        <v>225</v>
      </c>
      <c r="I432" s="2" t="s">
        <v>199</v>
      </c>
      <c r="J432" s="2" t="s">
        <v>225</v>
      </c>
      <c r="K432" s="2" t="s">
        <v>218</v>
      </c>
      <c r="L432" s="2" t="s">
        <v>298</v>
      </c>
      <c r="M432" s="2" t="s">
        <v>723</v>
      </c>
    </row>
    <row r="433" spans="1:13">
      <c r="A433" s="96" t="s">
        <v>905</v>
      </c>
      <c r="B433" s="2" t="s">
        <v>655</v>
      </c>
      <c r="C433" s="2" t="s">
        <v>619</v>
      </c>
      <c r="D433" s="2" t="s">
        <v>254</v>
      </c>
      <c r="E433" s="2" t="s">
        <v>131</v>
      </c>
      <c r="F433" s="2" t="s">
        <v>123</v>
      </c>
      <c r="G433" s="2" t="s">
        <v>266</v>
      </c>
      <c r="H433" s="2" t="s">
        <v>224</v>
      </c>
      <c r="I433" s="2" t="s">
        <v>178</v>
      </c>
      <c r="J433" s="2" t="s">
        <v>224</v>
      </c>
      <c r="K433" s="2" t="s">
        <v>206</v>
      </c>
      <c r="L433" s="2" t="s">
        <v>331</v>
      </c>
      <c r="M433" s="2" t="s">
        <v>496</v>
      </c>
    </row>
    <row r="434" spans="1:13">
      <c r="A434" s="96" t="s">
        <v>906</v>
      </c>
      <c r="B434" s="2" t="s">
        <v>657</v>
      </c>
      <c r="C434" s="2" t="s">
        <v>494</v>
      </c>
      <c r="D434" s="2" t="s">
        <v>134</v>
      </c>
      <c r="E434" s="2" t="s">
        <v>173</v>
      </c>
      <c r="F434" s="2" t="s">
        <v>147</v>
      </c>
      <c r="G434" s="2" t="s">
        <v>193</v>
      </c>
      <c r="H434" s="2" t="s">
        <v>260</v>
      </c>
      <c r="I434" s="2" t="s">
        <v>199</v>
      </c>
      <c r="J434" s="2" t="s">
        <v>260</v>
      </c>
      <c r="K434" s="2" t="s">
        <v>218</v>
      </c>
      <c r="L434" s="2" t="s">
        <v>298</v>
      </c>
      <c r="M434" s="2" t="s">
        <v>553</v>
      </c>
    </row>
    <row r="435" spans="1:13">
      <c r="A435" s="96" t="s">
        <v>908</v>
      </c>
      <c r="B435" s="2" t="s">
        <v>667</v>
      </c>
      <c r="C435" s="2" t="s">
        <v>545</v>
      </c>
      <c r="D435" s="2" t="s">
        <v>295</v>
      </c>
      <c r="E435" s="2" t="s">
        <v>145</v>
      </c>
      <c r="F435" s="2" t="s">
        <v>140</v>
      </c>
      <c r="G435" s="2" t="s">
        <v>193</v>
      </c>
      <c r="H435" s="2" t="s">
        <v>262</v>
      </c>
      <c r="I435" s="2" t="s">
        <v>192</v>
      </c>
      <c r="J435" s="2" t="s">
        <v>262</v>
      </c>
      <c r="K435" s="2" t="s">
        <v>166</v>
      </c>
      <c r="L435" s="2" t="s">
        <v>345</v>
      </c>
      <c r="M435" s="2" t="s">
        <v>569</v>
      </c>
    </row>
    <row r="436" spans="1:13">
      <c r="A436" s="96" t="s">
        <v>909</v>
      </c>
      <c r="B436" s="2" t="s">
        <v>470</v>
      </c>
      <c r="C436" s="2" t="s">
        <v>532</v>
      </c>
      <c r="D436" s="2" t="s">
        <v>285</v>
      </c>
      <c r="E436" s="2" t="s">
        <v>222</v>
      </c>
      <c r="F436" s="2" t="s">
        <v>121</v>
      </c>
      <c r="G436" s="2" t="s">
        <v>226</v>
      </c>
      <c r="H436" s="2" t="s">
        <v>225</v>
      </c>
      <c r="I436" s="2" t="s">
        <v>199</v>
      </c>
      <c r="J436" s="2" t="s">
        <v>260</v>
      </c>
      <c r="K436" s="2" t="s">
        <v>248</v>
      </c>
      <c r="L436" s="2" t="s">
        <v>331</v>
      </c>
      <c r="M436" s="2" t="s">
        <v>575</v>
      </c>
    </row>
    <row r="437" spans="1:13">
      <c r="A437" s="96" t="s">
        <v>910</v>
      </c>
      <c r="B437" s="2" t="s">
        <v>689</v>
      </c>
      <c r="C437" s="2" t="s">
        <v>528</v>
      </c>
      <c r="D437" s="2" t="s">
        <v>306</v>
      </c>
      <c r="E437" s="2" t="s">
        <v>209</v>
      </c>
      <c r="F437" s="2" t="s">
        <v>142</v>
      </c>
      <c r="G437" s="2" t="s">
        <v>118</v>
      </c>
      <c r="H437" s="2" t="s">
        <v>225</v>
      </c>
      <c r="I437" s="2" t="s">
        <v>199</v>
      </c>
      <c r="J437" s="2" t="s">
        <v>225</v>
      </c>
      <c r="K437" s="2" t="s">
        <v>248</v>
      </c>
      <c r="L437" s="2" t="s">
        <v>298</v>
      </c>
      <c r="M437" s="2" t="s">
        <v>496</v>
      </c>
    </row>
    <row r="438" spans="1:13">
      <c r="A438" s="96" t="s">
        <v>911</v>
      </c>
      <c r="B438" s="2" t="s">
        <v>591</v>
      </c>
      <c r="C438" s="2" t="s">
        <v>539</v>
      </c>
      <c r="D438" s="2" t="s">
        <v>293</v>
      </c>
      <c r="E438" s="2" t="s">
        <v>173</v>
      </c>
      <c r="F438" s="2" t="s">
        <v>147</v>
      </c>
      <c r="G438" s="2" t="s">
        <v>266</v>
      </c>
      <c r="H438" s="2" t="s">
        <v>228</v>
      </c>
      <c r="I438" s="2" t="s">
        <v>219</v>
      </c>
      <c r="J438" s="2" t="s">
        <v>263</v>
      </c>
      <c r="K438" s="2" t="s">
        <v>166</v>
      </c>
      <c r="L438" s="2" t="s">
        <v>345</v>
      </c>
      <c r="M438" s="2" t="s">
        <v>569</v>
      </c>
    </row>
    <row r="439" spans="1:13">
      <c r="A439" s="96" t="s">
        <v>912</v>
      </c>
      <c r="B439" s="2" t="s">
        <v>470</v>
      </c>
      <c r="C439" s="2" t="s">
        <v>619</v>
      </c>
      <c r="D439" s="2" t="s">
        <v>288</v>
      </c>
      <c r="E439" s="2" t="s">
        <v>173</v>
      </c>
      <c r="F439" s="2" t="s">
        <v>147</v>
      </c>
      <c r="G439" s="2" t="s">
        <v>193</v>
      </c>
      <c r="H439" s="2" t="s">
        <v>228</v>
      </c>
      <c r="I439" s="2" t="s">
        <v>219</v>
      </c>
      <c r="J439" s="2" t="s">
        <v>263</v>
      </c>
      <c r="K439" s="2" t="s">
        <v>166</v>
      </c>
      <c r="L439" s="2" t="s">
        <v>345</v>
      </c>
      <c r="M439" s="2" t="s">
        <v>569</v>
      </c>
    </row>
    <row r="440" spans="1:13">
      <c r="A440" s="96" t="s">
        <v>913</v>
      </c>
      <c r="B440" s="2" t="s">
        <v>689</v>
      </c>
      <c r="C440" s="2" t="s">
        <v>494</v>
      </c>
      <c r="D440" s="2" t="s">
        <v>275</v>
      </c>
      <c r="E440" s="2" t="s">
        <v>141</v>
      </c>
      <c r="F440" s="2" t="s">
        <v>106</v>
      </c>
      <c r="G440" s="2" t="s">
        <v>265</v>
      </c>
      <c r="H440" s="2" t="s">
        <v>262</v>
      </c>
      <c r="I440" s="2" t="s">
        <v>126</v>
      </c>
      <c r="J440" s="2" t="s">
        <v>228</v>
      </c>
      <c r="K440" s="2" t="s">
        <v>206</v>
      </c>
      <c r="L440" s="2" t="s">
        <v>331</v>
      </c>
      <c r="M440" s="2" t="s">
        <v>496</v>
      </c>
    </row>
    <row r="441" spans="1:13">
      <c r="A441" s="96" t="s">
        <v>914</v>
      </c>
      <c r="B441" s="2" t="s">
        <v>753</v>
      </c>
      <c r="C441" s="2" t="s">
        <v>527</v>
      </c>
      <c r="D441" s="2" t="s">
        <v>346</v>
      </c>
      <c r="E441" s="2" t="s">
        <v>168</v>
      </c>
      <c r="F441" s="2" t="s">
        <v>172</v>
      </c>
      <c r="G441" s="2" t="s">
        <v>243</v>
      </c>
      <c r="H441" s="2" t="s">
        <v>192</v>
      </c>
      <c r="I441" s="2" t="s">
        <v>227</v>
      </c>
      <c r="J441" s="2" t="s">
        <v>126</v>
      </c>
      <c r="K441" s="2" t="s">
        <v>196</v>
      </c>
      <c r="L441" s="2" t="s">
        <v>327</v>
      </c>
      <c r="M441" s="2" t="s">
        <v>621</v>
      </c>
    </row>
    <row r="442" spans="1:13">
      <c r="A442" s="96" t="s">
        <v>915</v>
      </c>
      <c r="B442" s="2" t="s">
        <v>753</v>
      </c>
      <c r="C442" s="2" t="s">
        <v>508</v>
      </c>
      <c r="D442" s="2" t="s">
        <v>356</v>
      </c>
      <c r="E442" s="2" t="s">
        <v>168</v>
      </c>
      <c r="F442" s="2" t="s">
        <v>172</v>
      </c>
      <c r="G442" s="2" t="s">
        <v>203</v>
      </c>
      <c r="H442" s="2" t="s">
        <v>199</v>
      </c>
      <c r="I442" s="2" t="s">
        <v>216</v>
      </c>
      <c r="J442" s="2" t="s">
        <v>192</v>
      </c>
      <c r="K442" s="2" t="s">
        <v>130</v>
      </c>
      <c r="L442" s="2" t="s">
        <v>322</v>
      </c>
      <c r="M442" s="2" t="s">
        <v>533</v>
      </c>
    </row>
    <row r="443" spans="1:13">
      <c r="A443" s="96" t="s">
        <v>916</v>
      </c>
      <c r="B443" s="2" t="s">
        <v>758</v>
      </c>
      <c r="C443" s="2" t="s">
        <v>545</v>
      </c>
      <c r="D443" s="2" t="s">
        <v>324</v>
      </c>
      <c r="E443" s="2" t="s">
        <v>209</v>
      </c>
      <c r="F443" s="2" t="s">
        <v>142</v>
      </c>
      <c r="G443" s="2" t="s">
        <v>118</v>
      </c>
      <c r="H443" s="2" t="s">
        <v>219</v>
      </c>
      <c r="I443" s="2" t="s">
        <v>195</v>
      </c>
      <c r="J443" s="2" t="s">
        <v>225</v>
      </c>
      <c r="K443" s="2" t="s">
        <v>212</v>
      </c>
      <c r="L443" s="2" t="s">
        <v>327</v>
      </c>
      <c r="M443" s="2" t="s">
        <v>564</v>
      </c>
    </row>
    <row r="444" spans="1:13">
      <c r="A444" s="96" t="s">
        <v>917</v>
      </c>
      <c r="B444" s="2" t="s">
        <v>758</v>
      </c>
      <c r="C444" s="2" t="s">
        <v>539</v>
      </c>
      <c r="D444" s="2" t="s">
        <v>275</v>
      </c>
      <c r="E444" s="2" t="s">
        <v>222</v>
      </c>
      <c r="F444" s="2" t="s">
        <v>121</v>
      </c>
      <c r="G444" s="2" t="s">
        <v>118</v>
      </c>
      <c r="H444" s="2" t="s">
        <v>219</v>
      </c>
      <c r="I444" s="2" t="s">
        <v>199</v>
      </c>
      <c r="J444" s="2" t="s">
        <v>260</v>
      </c>
      <c r="K444" s="2" t="s">
        <v>207</v>
      </c>
      <c r="L444" s="2" t="s">
        <v>296</v>
      </c>
      <c r="M444" s="2" t="s">
        <v>621</v>
      </c>
    </row>
    <row r="445" spans="1:13">
      <c r="A445" s="96" t="s">
        <v>918</v>
      </c>
      <c r="B445" s="2" t="s">
        <v>707</v>
      </c>
      <c r="C445" s="2" t="s">
        <v>494</v>
      </c>
      <c r="D445" s="2" t="s">
        <v>321</v>
      </c>
      <c r="E445" s="2" t="s">
        <v>131</v>
      </c>
      <c r="F445" s="2" t="s">
        <v>123</v>
      </c>
      <c r="G445" s="2" t="s">
        <v>266</v>
      </c>
      <c r="H445" s="2" t="s">
        <v>263</v>
      </c>
      <c r="I445" s="2" t="s">
        <v>225</v>
      </c>
      <c r="J445" s="2" t="s">
        <v>152</v>
      </c>
      <c r="K445" s="2" t="s">
        <v>150</v>
      </c>
      <c r="L445" s="2" t="s">
        <v>357</v>
      </c>
      <c r="M445" s="2" t="s">
        <v>575</v>
      </c>
    </row>
    <row r="446" spans="1:13">
      <c r="A446" s="96" t="s">
        <v>919</v>
      </c>
      <c r="B446" s="2" t="s">
        <v>526</v>
      </c>
      <c r="C446" s="2" t="s">
        <v>700</v>
      </c>
      <c r="D446" s="2" t="s">
        <v>329</v>
      </c>
      <c r="E446" s="2" t="s">
        <v>244</v>
      </c>
      <c r="F446" s="2" t="s">
        <v>142</v>
      </c>
      <c r="G446" s="2" t="s">
        <v>118</v>
      </c>
      <c r="H446" s="2" t="s">
        <v>225</v>
      </c>
      <c r="I446" s="2" t="s">
        <v>199</v>
      </c>
      <c r="J446" s="2" t="s">
        <v>224</v>
      </c>
      <c r="K446" s="2" t="s">
        <v>207</v>
      </c>
      <c r="L446" s="2" t="s">
        <v>298</v>
      </c>
      <c r="M446" s="2" t="s">
        <v>556</v>
      </c>
    </row>
    <row r="447" spans="1:13">
      <c r="A447" s="96" t="s">
        <v>920</v>
      </c>
      <c r="B447" s="2" t="s">
        <v>632</v>
      </c>
      <c r="C447" s="2" t="s">
        <v>480</v>
      </c>
      <c r="D447" s="2" t="s">
        <v>303</v>
      </c>
      <c r="E447" s="2" t="s">
        <v>202</v>
      </c>
      <c r="F447" s="2" t="s">
        <v>205</v>
      </c>
      <c r="G447" s="2" t="s">
        <v>175</v>
      </c>
      <c r="H447" s="2" t="s">
        <v>260</v>
      </c>
      <c r="I447" s="2" t="s">
        <v>178</v>
      </c>
      <c r="J447" s="2" t="s">
        <v>224</v>
      </c>
      <c r="K447" s="2" t="s">
        <v>207</v>
      </c>
      <c r="L447" s="2" t="s">
        <v>296</v>
      </c>
      <c r="M447" s="2" t="s">
        <v>540</v>
      </c>
    </row>
    <row r="448" spans="1:13">
      <c r="A448" s="96" t="s">
        <v>921</v>
      </c>
      <c r="B448" s="2" t="s">
        <v>470</v>
      </c>
      <c r="C448" s="2" t="s">
        <v>568</v>
      </c>
      <c r="D448" s="2" t="s">
        <v>274</v>
      </c>
      <c r="E448" s="2" t="s">
        <v>112</v>
      </c>
      <c r="F448" s="2" t="s">
        <v>104</v>
      </c>
      <c r="G448" s="2" t="s">
        <v>136</v>
      </c>
      <c r="H448" s="2" t="s">
        <v>152</v>
      </c>
      <c r="I448" s="2" t="s">
        <v>260</v>
      </c>
      <c r="J448" s="2" t="s">
        <v>223</v>
      </c>
      <c r="K448" s="2" t="s">
        <v>150</v>
      </c>
      <c r="L448" s="2" t="s">
        <v>300</v>
      </c>
      <c r="M448" s="2" t="s">
        <v>723</v>
      </c>
    </row>
    <row r="449" spans="1:13">
      <c r="A449" s="96" t="s">
        <v>922</v>
      </c>
      <c r="B449" s="2" t="s">
        <v>470</v>
      </c>
      <c r="C449" s="2" t="s">
        <v>568</v>
      </c>
      <c r="D449" s="2" t="s">
        <v>274</v>
      </c>
      <c r="E449" s="2" t="s">
        <v>169</v>
      </c>
      <c r="F449" s="2" t="s">
        <v>127</v>
      </c>
      <c r="G449" s="2" t="s">
        <v>172</v>
      </c>
      <c r="H449" s="2" t="s">
        <v>264</v>
      </c>
      <c r="I449" s="2" t="s">
        <v>262</v>
      </c>
      <c r="J449" s="2" t="s">
        <v>196</v>
      </c>
      <c r="K449" s="2" t="s">
        <v>208</v>
      </c>
      <c r="L449" s="2" t="s">
        <v>397</v>
      </c>
      <c r="M449" s="2" t="s">
        <v>558</v>
      </c>
    </row>
    <row r="450" spans="1:13">
      <c r="A450" s="96" t="s">
        <v>923</v>
      </c>
      <c r="B450" s="2" t="s">
        <v>667</v>
      </c>
      <c r="C450" s="2" t="s">
        <v>489</v>
      </c>
      <c r="D450" s="2" t="s">
        <v>276</v>
      </c>
      <c r="E450" s="2" t="s">
        <v>243</v>
      </c>
      <c r="F450" s="2" t="s">
        <v>283</v>
      </c>
      <c r="G450" s="2" t="s">
        <v>110</v>
      </c>
      <c r="H450" s="2" t="s">
        <v>213</v>
      </c>
      <c r="I450" s="2" t="s">
        <v>263</v>
      </c>
      <c r="J450" s="2" t="s">
        <v>213</v>
      </c>
      <c r="K450" s="2" t="s">
        <v>168</v>
      </c>
      <c r="L450" s="2" t="s">
        <v>356</v>
      </c>
      <c r="M450" s="2" t="s">
        <v>569</v>
      </c>
    </row>
    <row r="451" spans="1:13">
      <c r="A451" s="96" t="s">
        <v>924</v>
      </c>
      <c r="B451" s="2" t="s">
        <v>593</v>
      </c>
      <c r="C451" s="2" t="s">
        <v>574</v>
      </c>
      <c r="D451" s="2" t="s">
        <v>341</v>
      </c>
      <c r="E451" s="2" t="s">
        <v>243</v>
      </c>
      <c r="F451" s="2" t="s">
        <v>283</v>
      </c>
      <c r="G451" s="2" t="s">
        <v>110</v>
      </c>
      <c r="H451" s="2" t="s">
        <v>196</v>
      </c>
      <c r="I451" s="2" t="s">
        <v>263</v>
      </c>
      <c r="J451" s="2" t="s">
        <v>213</v>
      </c>
      <c r="K451" s="2" t="s">
        <v>148</v>
      </c>
      <c r="L451" s="2" t="s">
        <v>346</v>
      </c>
      <c r="M451" s="2" t="s">
        <v>558</v>
      </c>
    </row>
    <row r="452" spans="1:13">
      <c r="A452" s="96" t="s">
        <v>925</v>
      </c>
      <c r="B452" s="2" t="s">
        <v>508</v>
      </c>
      <c r="C452" s="2" t="s">
        <v>529</v>
      </c>
      <c r="D452" s="2" t="s">
        <v>258</v>
      </c>
      <c r="E452" s="2" t="s">
        <v>112</v>
      </c>
      <c r="F452" s="2" t="s">
        <v>104</v>
      </c>
      <c r="G452" s="2" t="s">
        <v>174</v>
      </c>
      <c r="H452" s="2" t="s">
        <v>152</v>
      </c>
      <c r="I452" s="2" t="s">
        <v>260</v>
      </c>
      <c r="J452" s="2" t="s">
        <v>264</v>
      </c>
      <c r="K452" s="2" t="s">
        <v>200</v>
      </c>
      <c r="L452" s="2" t="s">
        <v>397</v>
      </c>
      <c r="M452" s="2" t="s">
        <v>558</v>
      </c>
    </row>
    <row r="453" spans="1:13">
      <c r="A453" s="96" t="s">
        <v>926</v>
      </c>
      <c r="B453" s="2" t="s">
        <v>528</v>
      </c>
      <c r="C453" s="2" t="s">
        <v>510</v>
      </c>
      <c r="D453" s="2" t="s">
        <v>170</v>
      </c>
      <c r="E453" s="2" t="s">
        <v>131</v>
      </c>
      <c r="F453" s="2" t="s">
        <v>111</v>
      </c>
      <c r="G453" s="2" t="s">
        <v>266</v>
      </c>
      <c r="H453" s="2" t="s">
        <v>263</v>
      </c>
      <c r="I453" s="2" t="s">
        <v>225</v>
      </c>
      <c r="J453" s="2" t="s">
        <v>223</v>
      </c>
      <c r="K453" s="2" t="s">
        <v>245</v>
      </c>
      <c r="L453" s="2" t="s">
        <v>345</v>
      </c>
      <c r="M453" s="2" t="s">
        <v>575</v>
      </c>
    </row>
    <row r="454" spans="1:13">
      <c r="A454" s="76" t="s">
        <v>91</v>
      </c>
      <c r="B454" s="2" t="s">
        <v>562</v>
      </c>
      <c r="C454" s="2" t="s">
        <v>680</v>
      </c>
      <c r="D454" s="2" t="s">
        <v>375</v>
      </c>
      <c r="E454" s="2" t="s">
        <v>387</v>
      </c>
      <c r="F454" s="2" t="s">
        <v>355</v>
      </c>
      <c r="G454" s="2" t="s">
        <v>386</v>
      </c>
      <c r="H454" s="2" t="s">
        <v>316</v>
      </c>
      <c r="I454" s="2" t="s">
        <v>461</v>
      </c>
      <c r="J454" s="2" t="s">
        <v>419</v>
      </c>
      <c r="K454" s="2" t="s">
        <v>415</v>
      </c>
      <c r="L454" s="2" t="s">
        <v>435</v>
      </c>
      <c r="M454" s="2" t="s">
        <v>661</v>
      </c>
    </row>
    <row r="455" spans="1:13">
      <c r="A455" s="96" t="s">
        <v>824</v>
      </c>
      <c r="B455" s="2" t="s">
        <v>771</v>
      </c>
      <c r="C455" s="2" t="s">
        <v>631</v>
      </c>
      <c r="D455" s="2" t="s">
        <v>457</v>
      </c>
      <c r="E455" s="2" t="s">
        <v>360</v>
      </c>
      <c r="F455" s="2" t="s">
        <v>348</v>
      </c>
      <c r="G455" s="2" t="s">
        <v>379</v>
      </c>
      <c r="H455" s="2" t="s">
        <v>431</v>
      </c>
      <c r="I455" s="2" t="s">
        <v>434</v>
      </c>
      <c r="J455" s="2" t="s">
        <v>336</v>
      </c>
      <c r="K455" s="2" t="s">
        <v>391</v>
      </c>
      <c r="L455" s="2" t="s">
        <v>401</v>
      </c>
      <c r="M455" s="2" t="s">
        <v>593</v>
      </c>
    </row>
    <row r="456" spans="1:13">
      <c r="A456" s="96" t="s">
        <v>826</v>
      </c>
      <c r="B456" s="2" t="s">
        <v>476</v>
      </c>
      <c r="C456" s="2" t="s">
        <v>563</v>
      </c>
      <c r="D456" s="2" t="s">
        <v>432</v>
      </c>
      <c r="E456" s="2" t="s">
        <v>383</v>
      </c>
      <c r="F456" s="2" t="s">
        <v>353</v>
      </c>
      <c r="G456" s="2" t="s">
        <v>366</v>
      </c>
      <c r="H456" s="2" t="s">
        <v>404</v>
      </c>
      <c r="I456" s="2" t="s">
        <v>450</v>
      </c>
      <c r="J456" s="2" t="s">
        <v>434</v>
      </c>
      <c r="K456" s="2" t="s">
        <v>436</v>
      </c>
      <c r="L456" s="2" t="s">
        <v>358</v>
      </c>
      <c r="M456" s="2" t="s">
        <v>701</v>
      </c>
    </row>
    <row r="457" spans="1:13">
      <c r="A457" s="96" t="s">
        <v>828</v>
      </c>
      <c r="B457" s="2" t="s">
        <v>716</v>
      </c>
      <c r="C457" s="2" t="s">
        <v>565</v>
      </c>
      <c r="D457" s="2" t="s">
        <v>676</v>
      </c>
      <c r="E457" s="2" t="s">
        <v>366</v>
      </c>
      <c r="F457" s="2" t="s">
        <v>367</v>
      </c>
      <c r="G457" s="2" t="s">
        <v>366</v>
      </c>
      <c r="H457" s="2" t="s">
        <v>404</v>
      </c>
      <c r="I457" s="2" t="s">
        <v>408</v>
      </c>
      <c r="J457" s="2" t="s">
        <v>425</v>
      </c>
      <c r="K457" s="2" t="s">
        <v>436</v>
      </c>
      <c r="L457" s="2" t="s">
        <v>358</v>
      </c>
      <c r="M457" s="2" t="s">
        <v>701</v>
      </c>
    </row>
    <row r="458" spans="1:13">
      <c r="A458" s="96" t="s">
        <v>830</v>
      </c>
      <c r="B458" s="2" t="s">
        <v>779</v>
      </c>
      <c r="C458" s="2" t="s">
        <v>565</v>
      </c>
      <c r="D458" s="2" t="s">
        <v>676</v>
      </c>
      <c r="E458" s="2" t="s">
        <v>399</v>
      </c>
      <c r="F458" s="2" t="s">
        <v>305</v>
      </c>
      <c r="G458" s="2" t="s">
        <v>399</v>
      </c>
      <c r="H458" s="2" t="s">
        <v>444</v>
      </c>
      <c r="I458" s="2" t="s">
        <v>408</v>
      </c>
      <c r="J458" s="2" t="s">
        <v>434</v>
      </c>
      <c r="K458" s="2" t="s">
        <v>308</v>
      </c>
      <c r="L458" s="2" t="s">
        <v>358</v>
      </c>
      <c r="M458" s="2" t="s">
        <v>658</v>
      </c>
    </row>
    <row r="459" spans="1:13">
      <c r="A459" s="96" t="s">
        <v>834</v>
      </c>
      <c r="B459" s="2" t="s">
        <v>641</v>
      </c>
      <c r="C459" s="2" t="s">
        <v>530</v>
      </c>
      <c r="D459" s="2" t="s">
        <v>430</v>
      </c>
      <c r="E459" s="2" t="s">
        <v>326</v>
      </c>
      <c r="F459" s="2" t="s">
        <v>361</v>
      </c>
      <c r="G459" s="2" t="s">
        <v>330</v>
      </c>
      <c r="H459" s="2" t="s">
        <v>409</v>
      </c>
      <c r="I459" s="2" t="s">
        <v>375</v>
      </c>
      <c r="J459" s="2" t="s">
        <v>416</v>
      </c>
      <c r="K459" s="2" t="s">
        <v>461</v>
      </c>
      <c r="L459" s="2" t="s">
        <v>462</v>
      </c>
      <c r="M459" s="2" t="s">
        <v>707</v>
      </c>
    </row>
    <row r="460" spans="1:13">
      <c r="A460" s="96" t="s">
        <v>836</v>
      </c>
      <c r="B460" s="2" t="s">
        <v>695</v>
      </c>
      <c r="C460" s="2" t="s">
        <v>788</v>
      </c>
      <c r="D460" s="2" t="s">
        <v>384</v>
      </c>
      <c r="E460" s="2" t="s">
        <v>366</v>
      </c>
      <c r="F460" s="2" t="s">
        <v>353</v>
      </c>
      <c r="G460" s="2" t="s">
        <v>366</v>
      </c>
      <c r="H460" s="2" t="s">
        <v>404</v>
      </c>
      <c r="I460" s="2" t="s">
        <v>364</v>
      </c>
      <c r="J460" s="2" t="s">
        <v>434</v>
      </c>
      <c r="K460" s="2" t="s">
        <v>308</v>
      </c>
      <c r="L460" s="2" t="s">
        <v>358</v>
      </c>
      <c r="M460" s="2" t="s">
        <v>658</v>
      </c>
    </row>
    <row r="461" spans="1:13">
      <c r="A461" s="96" t="s">
        <v>839</v>
      </c>
      <c r="B461" s="2" t="s">
        <v>719</v>
      </c>
      <c r="C461" s="2" t="s">
        <v>477</v>
      </c>
      <c r="D461" s="2" t="s">
        <v>676</v>
      </c>
      <c r="E461" s="2" t="s">
        <v>347</v>
      </c>
      <c r="F461" s="2" t="s">
        <v>386</v>
      </c>
      <c r="G461" s="2" t="s">
        <v>347</v>
      </c>
      <c r="H461" s="2" t="s">
        <v>434</v>
      </c>
      <c r="I461" s="2" t="s">
        <v>388</v>
      </c>
      <c r="J461" s="2" t="s">
        <v>458</v>
      </c>
      <c r="K461" s="2" t="s">
        <v>417</v>
      </c>
      <c r="L461" s="2" t="s">
        <v>453</v>
      </c>
      <c r="M461" s="2" t="s">
        <v>537</v>
      </c>
    </row>
    <row r="462" spans="1:13">
      <c r="A462" s="96" t="s">
        <v>841</v>
      </c>
      <c r="B462" s="2" t="s">
        <v>763</v>
      </c>
      <c r="C462" s="2" t="s">
        <v>534</v>
      </c>
      <c r="D462" s="2" t="s">
        <v>441</v>
      </c>
      <c r="E462" s="2" t="s">
        <v>330</v>
      </c>
      <c r="F462" s="2" t="s">
        <v>376</v>
      </c>
      <c r="G462" s="2" t="s">
        <v>330</v>
      </c>
      <c r="H462" s="2" t="s">
        <v>389</v>
      </c>
      <c r="I462" s="2" t="s">
        <v>373</v>
      </c>
      <c r="J462" s="2" t="s">
        <v>416</v>
      </c>
      <c r="K462" s="2" t="s">
        <v>343</v>
      </c>
      <c r="L462" s="2" t="s">
        <v>462</v>
      </c>
      <c r="M462" s="2" t="s">
        <v>701</v>
      </c>
    </row>
    <row r="463" spans="1:13">
      <c r="A463" s="96" t="s">
        <v>842</v>
      </c>
      <c r="B463" s="2" t="s">
        <v>656</v>
      </c>
      <c r="C463" s="2" t="s">
        <v>512</v>
      </c>
      <c r="D463" s="2" t="s">
        <v>358</v>
      </c>
      <c r="E463" s="2" t="s">
        <v>326</v>
      </c>
      <c r="F463" s="2" t="s">
        <v>387</v>
      </c>
      <c r="G463" s="2" t="s">
        <v>304</v>
      </c>
      <c r="H463" s="2" t="s">
        <v>406</v>
      </c>
      <c r="I463" s="2" t="s">
        <v>425</v>
      </c>
      <c r="J463" s="2" t="s">
        <v>409</v>
      </c>
      <c r="K463" s="2" t="s">
        <v>402</v>
      </c>
      <c r="L463" s="2" t="s">
        <v>462</v>
      </c>
      <c r="M463" s="2" t="s">
        <v>701</v>
      </c>
    </row>
    <row r="464" spans="1:13">
      <c r="A464" s="96" t="s">
        <v>844</v>
      </c>
      <c r="B464" s="2" t="s">
        <v>772</v>
      </c>
      <c r="C464" s="2" t="s">
        <v>562</v>
      </c>
      <c r="D464" s="2" t="s">
        <v>449</v>
      </c>
      <c r="E464" s="2" t="s">
        <v>383</v>
      </c>
      <c r="F464" s="2" t="s">
        <v>353</v>
      </c>
      <c r="G464" s="2" t="s">
        <v>366</v>
      </c>
      <c r="H464" s="2" t="s">
        <v>409</v>
      </c>
      <c r="I464" s="2" t="s">
        <v>369</v>
      </c>
      <c r="J464" s="2" t="s">
        <v>416</v>
      </c>
      <c r="K464" s="2" t="s">
        <v>332</v>
      </c>
      <c r="L464" s="2" t="s">
        <v>430</v>
      </c>
      <c r="M464" s="2" t="s">
        <v>537</v>
      </c>
    </row>
    <row r="465" spans="1:13">
      <c r="A465" s="96" t="s">
        <v>847</v>
      </c>
      <c r="B465" s="2" t="s">
        <v>612</v>
      </c>
      <c r="C465" s="2" t="s">
        <v>688</v>
      </c>
      <c r="D465" s="2" t="s">
        <v>432</v>
      </c>
      <c r="E465" s="2" t="s">
        <v>344</v>
      </c>
      <c r="F465" s="2" t="s">
        <v>351</v>
      </c>
      <c r="G465" s="2" t="s">
        <v>344</v>
      </c>
      <c r="H465" s="2" t="s">
        <v>444</v>
      </c>
      <c r="I465" s="2" t="s">
        <v>408</v>
      </c>
      <c r="J465" s="2" t="s">
        <v>458</v>
      </c>
      <c r="K465" s="2" t="s">
        <v>423</v>
      </c>
      <c r="L465" s="2" t="s">
        <v>449</v>
      </c>
      <c r="M465" s="2" t="s">
        <v>758</v>
      </c>
    </row>
    <row r="466" spans="1:13">
      <c r="A466" s="96" t="s">
        <v>851</v>
      </c>
      <c r="B466" s="2" t="s">
        <v>475</v>
      </c>
      <c r="C466" s="2" t="s">
        <v>709</v>
      </c>
      <c r="D466" s="2" t="s">
        <v>428</v>
      </c>
      <c r="E466" s="2" t="s">
        <v>349</v>
      </c>
      <c r="F466" s="2" t="s">
        <v>421</v>
      </c>
      <c r="G466" s="2" t="s">
        <v>349</v>
      </c>
      <c r="H466" s="2" t="s">
        <v>416</v>
      </c>
      <c r="I466" s="2" t="s">
        <v>364</v>
      </c>
      <c r="J466" s="2" t="s">
        <v>434</v>
      </c>
      <c r="K466" s="2" t="s">
        <v>436</v>
      </c>
      <c r="L466" s="2" t="s">
        <v>441</v>
      </c>
      <c r="M466" s="2" t="s">
        <v>632</v>
      </c>
    </row>
    <row r="467" spans="1:13">
      <c r="A467" s="96" t="s">
        <v>852</v>
      </c>
      <c r="B467" s="2" t="s">
        <v>620</v>
      </c>
      <c r="C467" s="2" t="s">
        <v>670</v>
      </c>
      <c r="D467" s="2" t="s">
        <v>440</v>
      </c>
      <c r="E467" s="2" t="s">
        <v>333</v>
      </c>
      <c r="F467" s="2" t="s">
        <v>382</v>
      </c>
      <c r="G467" s="2" t="s">
        <v>290</v>
      </c>
      <c r="H467" s="2" t="s">
        <v>434</v>
      </c>
      <c r="I467" s="2" t="s">
        <v>388</v>
      </c>
      <c r="J467" s="2" t="s">
        <v>458</v>
      </c>
      <c r="K467" s="2" t="s">
        <v>431</v>
      </c>
      <c r="L467" s="2" t="s">
        <v>449</v>
      </c>
      <c r="M467" s="2" t="s">
        <v>758</v>
      </c>
    </row>
    <row r="468" spans="1:13">
      <c r="A468" s="96" t="s">
        <v>854</v>
      </c>
      <c r="B468" s="2" t="s">
        <v>781</v>
      </c>
      <c r="C468" s="2" t="s">
        <v>602</v>
      </c>
      <c r="D468" s="2" t="s">
        <v>380</v>
      </c>
      <c r="E468" s="2" t="s">
        <v>290</v>
      </c>
      <c r="F468" s="2" t="s">
        <v>400</v>
      </c>
      <c r="G468" s="2" t="s">
        <v>344</v>
      </c>
      <c r="H468" s="2" t="s">
        <v>444</v>
      </c>
      <c r="I468" s="2" t="s">
        <v>450</v>
      </c>
      <c r="J468" s="2" t="s">
        <v>425</v>
      </c>
      <c r="K468" s="2" t="s">
        <v>423</v>
      </c>
      <c r="L468" s="2" t="s">
        <v>429</v>
      </c>
      <c r="M468" s="2" t="s">
        <v>632</v>
      </c>
    </row>
    <row r="469" spans="1:13">
      <c r="A469" s="96" t="s">
        <v>856</v>
      </c>
      <c r="B469" s="2" t="s">
        <v>504</v>
      </c>
      <c r="C469" s="2" t="s">
        <v>492</v>
      </c>
      <c r="D469" s="2" t="s">
        <v>505</v>
      </c>
      <c r="E469" s="2" t="s">
        <v>337</v>
      </c>
      <c r="F469" s="2" t="s">
        <v>304</v>
      </c>
      <c r="G469" s="2" t="s">
        <v>393</v>
      </c>
      <c r="H469" s="2" t="s">
        <v>450</v>
      </c>
      <c r="I469" s="2" t="s">
        <v>359</v>
      </c>
      <c r="J469" s="2" t="s">
        <v>388</v>
      </c>
      <c r="K469" s="2" t="s">
        <v>416</v>
      </c>
      <c r="L469" s="2" t="s">
        <v>380</v>
      </c>
      <c r="M469" s="2" t="s">
        <v>547</v>
      </c>
    </row>
    <row r="470" spans="1:13">
      <c r="A470" s="96" t="s">
        <v>858</v>
      </c>
      <c r="B470" s="2" t="s">
        <v>570</v>
      </c>
      <c r="C470" s="2" t="s">
        <v>585</v>
      </c>
      <c r="D470" s="2" t="s">
        <v>505</v>
      </c>
      <c r="E470" s="2" t="s">
        <v>392</v>
      </c>
      <c r="F470" s="2" t="s">
        <v>326</v>
      </c>
      <c r="G470" s="2" t="s">
        <v>424</v>
      </c>
      <c r="H470" s="2" t="s">
        <v>364</v>
      </c>
      <c r="I470" s="2" t="s">
        <v>359</v>
      </c>
      <c r="J470" s="2" t="s">
        <v>408</v>
      </c>
      <c r="K470" s="2" t="s">
        <v>416</v>
      </c>
      <c r="L470" s="2" t="s">
        <v>428</v>
      </c>
      <c r="M470" s="2" t="s">
        <v>531</v>
      </c>
    </row>
    <row r="471" spans="1:13">
      <c r="A471" s="96" t="s">
        <v>861</v>
      </c>
      <c r="B471" s="2" t="s">
        <v>724</v>
      </c>
      <c r="C471" s="2" t="s">
        <v>734</v>
      </c>
      <c r="D471" s="2" t="s">
        <v>605</v>
      </c>
      <c r="E471" s="2" t="s">
        <v>340</v>
      </c>
      <c r="F471" s="2" t="s">
        <v>304</v>
      </c>
      <c r="G471" s="2" t="s">
        <v>393</v>
      </c>
      <c r="H471" s="2" t="s">
        <v>450</v>
      </c>
      <c r="I471" s="2" t="s">
        <v>359</v>
      </c>
      <c r="J471" s="2" t="s">
        <v>388</v>
      </c>
      <c r="K471" s="2" t="s">
        <v>404</v>
      </c>
      <c r="L471" s="2" t="s">
        <v>439</v>
      </c>
      <c r="M471" s="2" t="s">
        <v>513</v>
      </c>
    </row>
    <row r="472" spans="1:13">
      <c r="A472" s="96" t="s">
        <v>865</v>
      </c>
      <c r="B472" s="2" t="s">
        <v>730</v>
      </c>
      <c r="C472" s="2" t="s">
        <v>698</v>
      </c>
      <c r="D472" s="2" t="s">
        <v>626</v>
      </c>
      <c r="E472" s="2" t="s">
        <v>333</v>
      </c>
      <c r="F472" s="2" t="s">
        <v>386</v>
      </c>
      <c r="G472" s="2" t="s">
        <v>399</v>
      </c>
      <c r="H472" s="2" t="s">
        <v>339</v>
      </c>
      <c r="I472" s="2" t="s">
        <v>375</v>
      </c>
      <c r="J472" s="2" t="s">
        <v>404</v>
      </c>
      <c r="K472" s="2" t="s">
        <v>308</v>
      </c>
      <c r="L472" s="2" t="s">
        <v>441</v>
      </c>
      <c r="M472" s="2" t="s">
        <v>544</v>
      </c>
    </row>
    <row r="473" spans="1:13">
      <c r="A473" s="96" t="s">
        <v>866</v>
      </c>
      <c r="B473" s="2" t="s">
        <v>765</v>
      </c>
      <c r="C473" s="2" t="s">
        <v>755</v>
      </c>
      <c r="D473" s="2" t="s">
        <v>448</v>
      </c>
      <c r="E473" s="2" t="s">
        <v>424</v>
      </c>
      <c r="F473" s="2" t="s">
        <v>382</v>
      </c>
      <c r="G473" s="2" t="s">
        <v>344</v>
      </c>
      <c r="H473" s="2" t="s">
        <v>444</v>
      </c>
      <c r="I473" s="2" t="s">
        <v>364</v>
      </c>
      <c r="J473" s="2" t="s">
        <v>434</v>
      </c>
      <c r="K473" s="2" t="s">
        <v>436</v>
      </c>
      <c r="L473" s="2" t="s">
        <v>411</v>
      </c>
      <c r="M473" s="2" t="s">
        <v>667</v>
      </c>
    </row>
    <row r="474" spans="1:13">
      <c r="A474" s="96" t="s">
        <v>868</v>
      </c>
      <c r="B474" s="2" t="s">
        <v>483</v>
      </c>
      <c r="C474" s="2" t="s">
        <v>512</v>
      </c>
      <c r="D474" s="2" t="s">
        <v>414</v>
      </c>
      <c r="E474" s="2" t="s">
        <v>330</v>
      </c>
      <c r="F474" s="2" t="s">
        <v>292</v>
      </c>
      <c r="G474" s="2" t="s">
        <v>374</v>
      </c>
      <c r="H474" s="2" t="s">
        <v>332</v>
      </c>
      <c r="I474" s="2" t="s">
        <v>409</v>
      </c>
      <c r="J474" s="2" t="s">
        <v>417</v>
      </c>
      <c r="K474" s="2" t="s">
        <v>316</v>
      </c>
      <c r="L474" s="2" t="s">
        <v>368</v>
      </c>
      <c r="M474" s="2" t="s">
        <v>487</v>
      </c>
    </row>
    <row r="475" spans="1:13">
      <c r="A475" s="96" t="s">
        <v>871</v>
      </c>
      <c r="B475" s="2" t="s">
        <v>731</v>
      </c>
      <c r="C475" s="2" t="s">
        <v>536</v>
      </c>
      <c r="D475" s="2" t="s">
        <v>401</v>
      </c>
      <c r="E475" s="2" t="s">
        <v>326</v>
      </c>
      <c r="F475" s="2" t="s">
        <v>365</v>
      </c>
      <c r="G475" s="2" t="s">
        <v>362</v>
      </c>
      <c r="H475" s="2" t="s">
        <v>402</v>
      </c>
      <c r="I475" s="2" t="s">
        <v>406</v>
      </c>
      <c r="J475" s="2" t="s">
        <v>332</v>
      </c>
      <c r="K475" s="2" t="s">
        <v>320</v>
      </c>
      <c r="L475" s="2" t="s">
        <v>410</v>
      </c>
      <c r="M475" s="2" t="s">
        <v>577</v>
      </c>
    </row>
    <row r="476" spans="1:13">
      <c r="A476" s="96" t="s">
        <v>872</v>
      </c>
      <c r="B476" s="2" t="s">
        <v>523</v>
      </c>
      <c r="C476" s="2" t="s">
        <v>485</v>
      </c>
      <c r="D476" s="2" t="s">
        <v>457</v>
      </c>
      <c r="E476" s="2" t="s">
        <v>360</v>
      </c>
      <c r="F476" s="2" t="s">
        <v>318</v>
      </c>
      <c r="G476" s="2" t="s">
        <v>367</v>
      </c>
      <c r="H476" s="2" t="s">
        <v>390</v>
      </c>
      <c r="I476" s="2" t="s">
        <v>308</v>
      </c>
      <c r="J476" s="2" t="s">
        <v>446</v>
      </c>
      <c r="K476" s="2" t="s">
        <v>395</v>
      </c>
      <c r="L476" s="2" t="s">
        <v>413</v>
      </c>
      <c r="M476" s="2" t="s">
        <v>588</v>
      </c>
    </row>
    <row r="477" spans="1:13">
      <c r="A477" s="96" t="s">
        <v>874</v>
      </c>
      <c r="B477" s="2" t="s">
        <v>546</v>
      </c>
      <c r="C477" s="2" t="s">
        <v>662</v>
      </c>
      <c r="D477" s="2" t="s">
        <v>364</v>
      </c>
      <c r="E477" s="2" t="s">
        <v>371</v>
      </c>
      <c r="F477" s="2" t="s">
        <v>296</v>
      </c>
      <c r="G477" s="2" t="s">
        <v>387</v>
      </c>
      <c r="H477" s="2" t="s">
        <v>394</v>
      </c>
      <c r="I477" s="2" t="s">
        <v>446</v>
      </c>
      <c r="J477" s="2" t="s">
        <v>418</v>
      </c>
      <c r="K477" s="2" t="s">
        <v>337</v>
      </c>
      <c r="L477" s="2" t="s">
        <v>434</v>
      </c>
      <c r="M477" s="2" t="s">
        <v>532</v>
      </c>
    </row>
    <row r="478" spans="1:13">
      <c r="A478" s="96" t="s">
        <v>876</v>
      </c>
      <c r="B478" s="2" t="s">
        <v>524</v>
      </c>
      <c r="C478" s="2" t="s">
        <v>732</v>
      </c>
      <c r="D478" s="2" t="s">
        <v>417</v>
      </c>
      <c r="E478" s="2" t="s">
        <v>319</v>
      </c>
      <c r="F478" s="2" t="s">
        <v>345</v>
      </c>
      <c r="G478" s="2" t="s">
        <v>350</v>
      </c>
      <c r="H478" s="2" t="s">
        <v>415</v>
      </c>
      <c r="I478" s="2" t="s">
        <v>419</v>
      </c>
      <c r="J478" s="2" t="s">
        <v>394</v>
      </c>
      <c r="K478" s="2" t="s">
        <v>424</v>
      </c>
      <c r="L478" s="2" t="s">
        <v>434</v>
      </c>
      <c r="M478" s="2" t="s">
        <v>532</v>
      </c>
    </row>
    <row r="479" spans="1:13">
      <c r="A479" s="96" t="s">
        <v>877</v>
      </c>
      <c r="B479" s="2" t="s">
        <v>512</v>
      </c>
      <c r="C479" s="2" t="s">
        <v>671</v>
      </c>
      <c r="D479" s="2" t="s">
        <v>336</v>
      </c>
      <c r="E479" s="2" t="s">
        <v>378</v>
      </c>
      <c r="F479" s="2" t="s">
        <v>298</v>
      </c>
      <c r="G479" s="2" t="s">
        <v>268</v>
      </c>
      <c r="H479" s="2" t="s">
        <v>405</v>
      </c>
      <c r="I479" s="2" t="s">
        <v>446</v>
      </c>
      <c r="J479" s="2" t="s">
        <v>320</v>
      </c>
      <c r="K479" s="2" t="s">
        <v>427</v>
      </c>
      <c r="L479" s="2" t="s">
        <v>425</v>
      </c>
      <c r="M479" s="2" t="s">
        <v>532</v>
      </c>
    </row>
    <row r="480" spans="1:13">
      <c r="A480" s="96" t="s">
        <v>879</v>
      </c>
      <c r="B480" s="2" t="s">
        <v>670</v>
      </c>
      <c r="C480" s="2" t="s">
        <v>622</v>
      </c>
      <c r="D480" s="2" t="s">
        <v>404</v>
      </c>
      <c r="E480" s="2" t="s">
        <v>305</v>
      </c>
      <c r="F480" s="2" t="s">
        <v>355</v>
      </c>
      <c r="G480" s="2" t="s">
        <v>421</v>
      </c>
      <c r="H480" s="2" t="s">
        <v>418</v>
      </c>
      <c r="I480" s="2" t="s">
        <v>461</v>
      </c>
      <c r="J480" s="2" t="s">
        <v>419</v>
      </c>
      <c r="K480" s="2" t="s">
        <v>422</v>
      </c>
      <c r="L480" s="2" t="s">
        <v>413</v>
      </c>
      <c r="M480" s="2" t="s">
        <v>661</v>
      </c>
    </row>
    <row r="481" spans="1:13">
      <c r="A481" s="96" t="s">
        <v>881</v>
      </c>
      <c r="B481" s="2" t="s">
        <v>738</v>
      </c>
      <c r="C481" s="2" t="s">
        <v>599</v>
      </c>
      <c r="D481" s="2" t="s">
        <v>401</v>
      </c>
      <c r="E481" s="2" t="s">
        <v>374</v>
      </c>
      <c r="F481" s="2" t="s">
        <v>313</v>
      </c>
      <c r="G481" s="2" t="s">
        <v>421</v>
      </c>
      <c r="H481" s="2" t="s">
        <v>316</v>
      </c>
      <c r="I481" s="2" t="s">
        <v>461</v>
      </c>
      <c r="J481" s="2" t="s">
        <v>419</v>
      </c>
      <c r="K481" s="2" t="s">
        <v>420</v>
      </c>
      <c r="L481" s="2" t="s">
        <v>412</v>
      </c>
      <c r="M481" s="2" t="s">
        <v>481</v>
      </c>
    </row>
    <row r="482" spans="1:13">
      <c r="A482" s="96" t="s">
        <v>883</v>
      </c>
      <c r="B482" s="2" t="s">
        <v>747</v>
      </c>
      <c r="C482" s="2" t="s">
        <v>535</v>
      </c>
      <c r="D482" s="2" t="s">
        <v>368</v>
      </c>
      <c r="E482" s="2" t="s">
        <v>268</v>
      </c>
      <c r="F482" s="2" t="s">
        <v>319</v>
      </c>
      <c r="G482" s="2" t="s">
        <v>353</v>
      </c>
      <c r="H482" s="2" t="s">
        <v>394</v>
      </c>
      <c r="I482" s="2" t="s">
        <v>460</v>
      </c>
      <c r="J482" s="2" t="s">
        <v>418</v>
      </c>
      <c r="K482" s="2" t="s">
        <v>427</v>
      </c>
      <c r="L482" s="2" t="s">
        <v>411</v>
      </c>
      <c r="M482" s="2" t="s">
        <v>666</v>
      </c>
    </row>
    <row r="483" spans="1:13">
      <c r="A483" s="96" t="s">
        <v>884</v>
      </c>
      <c r="B483" s="2" t="s">
        <v>688</v>
      </c>
      <c r="C483" s="2" t="s">
        <v>550</v>
      </c>
      <c r="D483" s="2" t="s">
        <v>364</v>
      </c>
      <c r="E483" s="2" t="s">
        <v>354</v>
      </c>
      <c r="F483" s="2" t="s">
        <v>322</v>
      </c>
      <c r="G483" s="2" t="s">
        <v>353</v>
      </c>
      <c r="H483" s="2" t="s">
        <v>405</v>
      </c>
      <c r="I483" s="2" t="s">
        <v>391</v>
      </c>
      <c r="J483" s="2" t="s">
        <v>325</v>
      </c>
      <c r="K483" s="2" t="s">
        <v>337</v>
      </c>
      <c r="L483" s="2" t="s">
        <v>363</v>
      </c>
      <c r="M483" s="2" t="s">
        <v>593</v>
      </c>
    </row>
    <row r="484" spans="1:13">
      <c r="A484" s="96" t="s">
        <v>887</v>
      </c>
      <c r="B484" s="2" t="s">
        <v>534</v>
      </c>
      <c r="C484" s="2" t="s">
        <v>693</v>
      </c>
      <c r="D484" s="2" t="s">
        <v>375</v>
      </c>
      <c r="E484" s="2" t="s">
        <v>268</v>
      </c>
      <c r="F484" s="2" t="s">
        <v>297</v>
      </c>
      <c r="G484" s="2" t="s">
        <v>305</v>
      </c>
      <c r="H484" s="2" t="s">
        <v>325</v>
      </c>
      <c r="I484" s="2" t="s">
        <v>460</v>
      </c>
      <c r="J484" s="2" t="s">
        <v>418</v>
      </c>
      <c r="K484" s="2" t="s">
        <v>340</v>
      </c>
      <c r="L484" s="2" t="s">
        <v>381</v>
      </c>
      <c r="M484" s="2" t="s">
        <v>667</v>
      </c>
    </row>
    <row r="485" spans="1:13">
      <c r="A485" s="96" t="s">
        <v>889</v>
      </c>
      <c r="B485" s="2" t="s">
        <v>703</v>
      </c>
      <c r="C485" s="2" t="s">
        <v>611</v>
      </c>
      <c r="D485" s="2" t="s">
        <v>389</v>
      </c>
      <c r="E485" s="2" t="s">
        <v>365</v>
      </c>
      <c r="F485" s="2" t="s">
        <v>323</v>
      </c>
      <c r="G485" s="2" t="s">
        <v>371</v>
      </c>
      <c r="H485" s="2" t="s">
        <v>407</v>
      </c>
      <c r="I485" s="2" t="s">
        <v>443</v>
      </c>
      <c r="J485" s="2" t="s">
        <v>325</v>
      </c>
      <c r="K485" s="2" t="s">
        <v>337</v>
      </c>
      <c r="L485" s="2" t="s">
        <v>368</v>
      </c>
      <c r="M485" s="2" t="s">
        <v>493</v>
      </c>
    </row>
    <row r="486" spans="1:13">
      <c r="A486" s="96" t="s">
        <v>891</v>
      </c>
      <c r="B486" s="2" t="s">
        <v>662</v>
      </c>
      <c r="C486" s="2" t="s">
        <v>728</v>
      </c>
      <c r="D486" s="2" t="s">
        <v>402</v>
      </c>
      <c r="E486" s="2" t="s">
        <v>355</v>
      </c>
      <c r="F486" s="2" t="s">
        <v>296</v>
      </c>
      <c r="G486" s="2" t="s">
        <v>387</v>
      </c>
      <c r="H486" s="2" t="s">
        <v>420</v>
      </c>
      <c r="I486" s="2" t="s">
        <v>316</v>
      </c>
      <c r="J486" s="2" t="s">
        <v>395</v>
      </c>
      <c r="K486" s="2" t="s">
        <v>398</v>
      </c>
      <c r="L486" s="2" t="s">
        <v>454</v>
      </c>
      <c r="M486" s="2" t="s">
        <v>642</v>
      </c>
    </row>
    <row r="487" spans="1:13">
      <c r="A487" s="96" t="s">
        <v>893</v>
      </c>
      <c r="B487" s="2" t="s">
        <v>603</v>
      </c>
      <c r="C487" s="2" t="s">
        <v>580</v>
      </c>
      <c r="D487" s="2" t="s">
        <v>391</v>
      </c>
      <c r="E487" s="2" t="s">
        <v>318</v>
      </c>
      <c r="F487" s="2" t="s">
        <v>331</v>
      </c>
      <c r="G487" s="2" t="s">
        <v>354</v>
      </c>
      <c r="H487" s="2" t="s">
        <v>392</v>
      </c>
      <c r="I487" s="2" t="s">
        <v>320</v>
      </c>
      <c r="J487" s="2" t="s">
        <v>420</v>
      </c>
      <c r="K487" s="2" t="s">
        <v>309</v>
      </c>
      <c r="L487" s="2" t="s">
        <v>413</v>
      </c>
      <c r="M487" s="2" t="s">
        <v>520</v>
      </c>
    </row>
    <row r="488" spans="1:13">
      <c r="A488" s="96" t="s">
        <v>895</v>
      </c>
      <c r="B488" s="2" t="s">
        <v>757</v>
      </c>
      <c r="C488" s="2" t="s">
        <v>586</v>
      </c>
      <c r="D488" s="2" t="s">
        <v>395</v>
      </c>
      <c r="E488" s="2" t="s">
        <v>352</v>
      </c>
      <c r="F488" s="2" t="s">
        <v>356</v>
      </c>
      <c r="G488" s="2" t="s">
        <v>378</v>
      </c>
      <c r="H488" s="2" t="s">
        <v>424</v>
      </c>
      <c r="I488" s="2" t="s">
        <v>407</v>
      </c>
      <c r="J488" s="2" t="s">
        <v>337</v>
      </c>
      <c r="K488" s="2" t="s">
        <v>344</v>
      </c>
      <c r="L488" s="2" t="s">
        <v>388</v>
      </c>
      <c r="M488" s="2" t="s">
        <v>527</v>
      </c>
    </row>
    <row r="489" spans="1:13">
      <c r="A489" s="96" t="s">
        <v>896</v>
      </c>
      <c r="B489" s="2" t="s">
        <v>582</v>
      </c>
      <c r="C489" s="2" t="s">
        <v>712</v>
      </c>
      <c r="D489" s="2" t="s">
        <v>325</v>
      </c>
      <c r="E489" s="2" t="s">
        <v>327</v>
      </c>
      <c r="F489" s="2" t="s">
        <v>345</v>
      </c>
      <c r="G489" s="2" t="s">
        <v>348</v>
      </c>
      <c r="H489" s="2" t="s">
        <v>340</v>
      </c>
      <c r="I489" s="2" t="s">
        <v>418</v>
      </c>
      <c r="J489" s="2" t="s">
        <v>395</v>
      </c>
      <c r="K489" s="2" t="s">
        <v>398</v>
      </c>
      <c r="L489" s="2" t="s">
        <v>454</v>
      </c>
      <c r="M489" s="2" t="s">
        <v>514</v>
      </c>
    </row>
    <row r="490" spans="1:13">
      <c r="A490" s="96" t="s">
        <v>897</v>
      </c>
      <c r="B490" s="2" t="s">
        <v>610</v>
      </c>
      <c r="C490" s="2" t="s">
        <v>519</v>
      </c>
      <c r="D490" s="2" t="s">
        <v>415</v>
      </c>
      <c r="E490" s="2" t="s">
        <v>298</v>
      </c>
      <c r="F490" s="2" t="s">
        <v>356</v>
      </c>
      <c r="G490" s="2" t="s">
        <v>312</v>
      </c>
      <c r="H490" s="2" t="s">
        <v>337</v>
      </c>
      <c r="I490" s="2" t="s">
        <v>325</v>
      </c>
      <c r="J490" s="2" t="s">
        <v>422</v>
      </c>
      <c r="K490" s="2" t="s">
        <v>333</v>
      </c>
      <c r="L490" s="2" t="s">
        <v>403</v>
      </c>
      <c r="M490" s="2" t="s">
        <v>507</v>
      </c>
    </row>
    <row r="491" spans="1:13">
      <c r="A491" s="96" t="s">
        <v>898</v>
      </c>
      <c r="B491" s="2" t="s">
        <v>598</v>
      </c>
      <c r="C491" s="2" t="s">
        <v>658</v>
      </c>
      <c r="D491" s="2" t="s">
        <v>415</v>
      </c>
      <c r="E491" s="2" t="s">
        <v>331</v>
      </c>
      <c r="F491" s="2" t="s">
        <v>314</v>
      </c>
      <c r="G491" s="2" t="s">
        <v>313</v>
      </c>
      <c r="H491" s="2" t="s">
        <v>424</v>
      </c>
      <c r="I491" s="2" t="s">
        <v>407</v>
      </c>
      <c r="J491" s="2" t="s">
        <v>337</v>
      </c>
      <c r="K491" s="2" t="s">
        <v>344</v>
      </c>
      <c r="L491" s="2" t="s">
        <v>456</v>
      </c>
      <c r="M491" s="2" t="s">
        <v>514</v>
      </c>
    </row>
    <row r="492" spans="1:13">
      <c r="A492" s="96" t="s">
        <v>900</v>
      </c>
      <c r="B492" s="2" t="s">
        <v>580</v>
      </c>
      <c r="C492" s="2" t="s">
        <v>551</v>
      </c>
      <c r="D492" s="2" t="s">
        <v>424</v>
      </c>
      <c r="E492" s="2" t="s">
        <v>357</v>
      </c>
      <c r="F492" s="2" t="s">
        <v>342</v>
      </c>
      <c r="G492" s="2" t="s">
        <v>318</v>
      </c>
      <c r="H492" s="2" t="s">
        <v>290</v>
      </c>
      <c r="I492" s="2" t="s">
        <v>392</v>
      </c>
      <c r="J492" s="2" t="s">
        <v>398</v>
      </c>
      <c r="K492" s="2" t="s">
        <v>347</v>
      </c>
      <c r="L492" s="2" t="s">
        <v>363</v>
      </c>
      <c r="M492" s="2" t="s">
        <v>538</v>
      </c>
    </row>
    <row r="493" spans="1:13">
      <c r="A493" s="96" t="s">
        <v>901</v>
      </c>
      <c r="B493" s="2" t="s">
        <v>506</v>
      </c>
      <c r="C493" s="2" t="s">
        <v>689</v>
      </c>
      <c r="D493" s="2" t="s">
        <v>427</v>
      </c>
      <c r="E493" s="2" t="s">
        <v>397</v>
      </c>
      <c r="F493" s="2" t="s">
        <v>299</v>
      </c>
      <c r="G493" s="2" t="s">
        <v>318</v>
      </c>
      <c r="H493" s="2" t="s">
        <v>290</v>
      </c>
      <c r="I493" s="2" t="s">
        <v>340</v>
      </c>
      <c r="J493" s="2" t="s">
        <v>398</v>
      </c>
      <c r="K493" s="2" t="s">
        <v>344</v>
      </c>
      <c r="L493" s="2" t="s">
        <v>385</v>
      </c>
      <c r="M493" s="2" t="s">
        <v>700</v>
      </c>
    </row>
    <row r="494" spans="1:13">
      <c r="A494" s="96" t="s">
        <v>902</v>
      </c>
      <c r="B494" s="2" t="s">
        <v>654</v>
      </c>
      <c r="C494" s="2" t="s">
        <v>758</v>
      </c>
      <c r="D494" s="2" t="s">
        <v>407</v>
      </c>
      <c r="E494" s="2" t="s">
        <v>334</v>
      </c>
      <c r="F494" s="2" t="s">
        <v>346</v>
      </c>
      <c r="G494" s="2" t="s">
        <v>350</v>
      </c>
      <c r="H494" s="2" t="s">
        <v>427</v>
      </c>
      <c r="I494" s="2" t="s">
        <v>405</v>
      </c>
      <c r="J494" s="2" t="s">
        <v>340</v>
      </c>
      <c r="K494" s="2" t="s">
        <v>426</v>
      </c>
      <c r="L494" s="2" t="s">
        <v>412</v>
      </c>
      <c r="M494" s="2" t="s">
        <v>508</v>
      </c>
    </row>
    <row r="495" spans="1:13">
      <c r="A495" s="96" t="s">
        <v>903</v>
      </c>
      <c r="B495" s="2" t="s">
        <v>590</v>
      </c>
      <c r="C495" s="2" t="s">
        <v>682</v>
      </c>
      <c r="D495" s="2" t="s">
        <v>420</v>
      </c>
      <c r="E495" s="2" t="s">
        <v>352</v>
      </c>
      <c r="F495" s="2" t="s">
        <v>314</v>
      </c>
      <c r="G495" s="2" t="s">
        <v>312</v>
      </c>
      <c r="H495" s="2" t="s">
        <v>426</v>
      </c>
      <c r="I495" s="2" t="s">
        <v>395</v>
      </c>
      <c r="J495" s="2" t="s">
        <v>337</v>
      </c>
      <c r="K495" s="2" t="s">
        <v>398</v>
      </c>
      <c r="L495" s="2" t="s">
        <v>412</v>
      </c>
      <c r="M495" s="2" t="s">
        <v>528</v>
      </c>
    </row>
    <row r="496" spans="1:13">
      <c r="A496" s="96" t="s">
        <v>905</v>
      </c>
      <c r="B496" s="2" t="s">
        <v>473</v>
      </c>
      <c r="C496" s="2" t="s">
        <v>689</v>
      </c>
      <c r="D496" s="2" t="s">
        <v>427</v>
      </c>
      <c r="E496" s="2" t="s">
        <v>357</v>
      </c>
      <c r="F496" s="2" t="s">
        <v>301</v>
      </c>
      <c r="G496" s="2" t="s">
        <v>313</v>
      </c>
      <c r="H496" s="2" t="s">
        <v>398</v>
      </c>
      <c r="I496" s="2" t="s">
        <v>415</v>
      </c>
      <c r="J496" s="2" t="s">
        <v>427</v>
      </c>
      <c r="K496" s="2" t="s">
        <v>333</v>
      </c>
      <c r="L496" s="2" t="s">
        <v>414</v>
      </c>
      <c r="M496" s="2" t="s">
        <v>528</v>
      </c>
    </row>
    <row r="497" spans="1:13">
      <c r="A497" s="96" t="s">
        <v>906</v>
      </c>
      <c r="B497" s="2" t="s">
        <v>728</v>
      </c>
      <c r="C497" s="2" t="s">
        <v>632</v>
      </c>
      <c r="D497" s="2" t="s">
        <v>407</v>
      </c>
      <c r="E497" s="2" t="s">
        <v>298</v>
      </c>
      <c r="F497" s="2" t="s">
        <v>345</v>
      </c>
      <c r="G497" s="2" t="s">
        <v>292</v>
      </c>
      <c r="H497" s="2" t="s">
        <v>393</v>
      </c>
      <c r="I497" s="2" t="s">
        <v>405</v>
      </c>
      <c r="J497" s="2" t="s">
        <v>340</v>
      </c>
      <c r="K497" s="2" t="s">
        <v>426</v>
      </c>
      <c r="L497" s="2" t="s">
        <v>412</v>
      </c>
      <c r="M497" s="2" t="s">
        <v>528</v>
      </c>
    </row>
    <row r="498" spans="1:13">
      <c r="A498" s="96" t="s">
        <v>908</v>
      </c>
      <c r="B498" s="2" t="s">
        <v>598</v>
      </c>
      <c r="C498" s="2" t="s">
        <v>614</v>
      </c>
      <c r="D498" s="2" t="s">
        <v>390</v>
      </c>
      <c r="E498" s="2" t="s">
        <v>352</v>
      </c>
      <c r="F498" s="2" t="s">
        <v>357</v>
      </c>
      <c r="G498" s="2" t="s">
        <v>292</v>
      </c>
      <c r="H498" s="2" t="s">
        <v>424</v>
      </c>
      <c r="I498" s="2" t="s">
        <v>395</v>
      </c>
      <c r="J498" s="2" t="s">
        <v>337</v>
      </c>
      <c r="K498" s="2" t="s">
        <v>309</v>
      </c>
      <c r="L498" s="2" t="s">
        <v>385</v>
      </c>
      <c r="M498" s="2" t="s">
        <v>700</v>
      </c>
    </row>
    <row r="499" spans="1:13">
      <c r="A499" s="96" t="s">
        <v>909</v>
      </c>
      <c r="B499" s="2" t="s">
        <v>587</v>
      </c>
      <c r="C499" s="2" t="s">
        <v>526</v>
      </c>
      <c r="D499" s="2" t="s">
        <v>446</v>
      </c>
      <c r="E499" s="2" t="s">
        <v>323</v>
      </c>
      <c r="F499" s="2" t="s">
        <v>298</v>
      </c>
      <c r="G499" s="2" t="s">
        <v>376</v>
      </c>
      <c r="H499" s="2" t="s">
        <v>392</v>
      </c>
      <c r="I499" s="2" t="s">
        <v>325</v>
      </c>
      <c r="J499" s="2" t="s">
        <v>420</v>
      </c>
      <c r="K499" s="2" t="s">
        <v>393</v>
      </c>
      <c r="L499" s="2" t="s">
        <v>414</v>
      </c>
      <c r="M499" s="2" t="s">
        <v>650</v>
      </c>
    </row>
    <row r="500" spans="1:13">
      <c r="A500" s="96" t="s">
        <v>910</v>
      </c>
      <c r="B500" s="2" t="s">
        <v>636</v>
      </c>
      <c r="C500" s="2" t="s">
        <v>519</v>
      </c>
      <c r="D500" s="2" t="s">
        <v>460</v>
      </c>
      <c r="E500" s="2" t="s">
        <v>323</v>
      </c>
      <c r="F500" s="2" t="s">
        <v>352</v>
      </c>
      <c r="G500" s="2" t="s">
        <v>376</v>
      </c>
      <c r="H500" s="2" t="s">
        <v>392</v>
      </c>
      <c r="I500" s="2" t="s">
        <v>325</v>
      </c>
      <c r="J500" s="2" t="s">
        <v>420</v>
      </c>
      <c r="K500" s="2" t="s">
        <v>393</v>
      </c>
      <c r="L500" s="2" t="s">
        <v>412</v>
      </c>
      <c r="M500" s="2" t="s">
        <v>528</v>
      </c>
    </row>
    <row r="501" spans="1:13">
      <c r="A501" s="96" t="s">
        <v>911</v>
      </c>
      <c r="B501" s="2" t="s">
        <v>604</v>
      </c>
      <c r="C501" s="2" t="s">
        <v>526</v>
      </c>
      <c r="D501" s="2" t="s">
        <v>402</v>
      </c>
      <c r="E501" s="2" t="s">
        <v>331</v>
      </c>
      <c r="F501" s="2" t="s">
        <v>397</v>
      </c>
      <c r="G501" s="2" t="s">
        <v>354</v>
      </c>
      <c r="H501" s="2" t="s">
        <v>424</v>
      </c>
      <c r="I501" s="2" t="s">
        <v>395</v>
      </c>
      <c r="J501" s="2" t="s">
        <v>337</v>
      </c>
      <c r="K501" s="2" t="s">
        <v>398</v>
      </c>
      <c r="L501" s="2" t="s">
        <v>385</v>
      </c>
      <c r="M501" s="2" t="s">
        <v>687</v>
      </c>
    </row>
    <row r="502" spans="1:13">
      <c r="A502" s="96" t="s">
        <v>912</v>
      </c>
      <c r="B502" s="2" t="s">
        <v>587</v>
      </c>
      <c r="C502" s="2" t="s">
        <v>628</v>
      </c>
      <c r="D502" s="2" t="s">
        <v>402</v>
      </c>
      <c r="E502" s="2" t="s">
        <v>352</v>
      </c>
      <c r="F502" s="2" t="s">
        <v>357</v>
      </c>
      <c r="G502" s="2" t="s">
        <v>268</v>
      </c>
      <c r="H502" s="2" t="s">
        <v>393</v>
      </c>
      <c r="I502" s="2" t="s">
        <v>405</v>
      </c>
      <c r="J502" s="2" t="s">
        <v>392</v>
      </c>
      <c r="K502" s="2" t="s">
        <v>309</v>
      </c>
      <c r="L502" s="2" t="s">
        <v>401</v>
      </c>
      <c r="M502" s="2" t="s">
        <v>479</v>
      </c>
    </row>
    <row r="503" spans="1:13">
      <c r="A503" s="96" t="s">
        <v>913</v>
      </c>
      <c r="B503" s="2" t="s">
        <v>608</v>
      </c>
      <c r="C503" s="2" t="s">
        <v>519</v>
      </c>
      <c r="D503" s="2" t="s">
        <v>308</v>
      </c>
      <c r="E503" s="2" t="s">
        <v>327</v>
      </c>
      <c r="F503" s="2" t="s">
        <v>298</v>
      </c>
      <c r="G503" s="2" t="s">
        <v>361</v>
      </c>
      <c r="H503" s="2" t="s">
        <v>337</v>
      </c>
      <c r="I503" s="2" t="s">
        <v>394</v>
      </c>
      <c r="J503" s="2" t="s">
        <v>422</v>
      </c>
      <c r="K503" s="2" t="s">
        <v>398</v>
      </c>
      <c r="L503" s="2" t="s">
        <v>377</v>
      </c>
      <c r="M503" s="2" t="s">
        <v>568</v>
      </c>
    </row>
    <row r="504" spans="1:13">
      <c r="A504" s="96" t="s">
        <v>914</v>
      </c>
      <c r="B504" s="2" t="s">
        <v>582</v>
      </c>
      <c r="C504" s="2" t="s">
        <v>675</v>
      </c>
      <c r="D504" s="2" t="s">
        <v>416</v>
      </c>
      <c r="E504" s="2" t="s">
        <v>313</v>
      </c>
      <c r="F504" s="2" t="s">
        <v>319</v>
      </c>
      <c r="G504" s="2" t="s">
        <v>421</v>
      </c>
      <c r="H504" s="2" t="s">
        <v>407</v>
      </c>
      <c r="I504" s="2" t="s">
        <v>443</v>
      </c>
      <c r="J504" s="2" t="s">
        <v>394</v>
      </c>
      <c r="K504" s="2" t="s">
        <v>392</v>
      </c>
      <c r="L504" s="2" t="s">
        <v>463</v>
      </c>
      <c r="M504" s="2" t="s">
        <v>615</v>
      </c>
    </row>
    <row r="505" spans="1:13">
      <c r="A505" s="96" t="s">
        <v>915</v>
      </c>
      <c r="B505" s="2" t="s">
        <v>582</v>
      </c>
      <c r="C505" s="2" t="s">
        <v>597</v>
      </c>
      <c r="D505" s="2" t="s">
        <v>434</v>
      </c>
      <c r="E505" s="2" t="s">
        <v>312</v>
      </c>
      <c r="F505" s="2" t="s">
        <v>355</v>
      </c>
      <c r="G505" s="2" t="s">
        <v>351</v>
      </c>
      <c r="H505" s="2" t="s">
        <v>405</v>
      </c>
      <c r="I505" s="2" t="s">
        <v>391</v>
      </c>
      <c r="J505" s="2" t="s">
        <v>320</v>
      </c>
      <c r="K505" s="2" t="s">
        <v>422</v>
      </c>
      <c r="L505" s="2" t="s">
        <v>676</v>
      </c>
      <c r="M505" s="2" t="s">
        <v>539</v>
      </c>
    </row>
    <row r="506" spans="1:13">
      <c r="A506" s="96" t="s">
        <v>916</v>
      </c>
      <c r="B506" s="2" t="s">
        <v>576</v>
      </c>
      <c r="C506" s="2" t="s">
        <v>513</v>
      </c>
      <c r="D506" s="2" t="s">
        <v>409</v>
      </c>
      <c r="E506" s="2" t="s">
        <v>355</v>
      </c>
      <c r="F506" s="2" t="s">
        <v>313</v>
      </c>
      <c r="G506" s="2" t="s">
        <v>367</v>
      </c>
      <c r="H506" s="2" t="s">
        <v>420</v>
      </c>
      <c r="I506" s="2" t="s">
        <v>316</v>
      </c>
      <c r="J506" s="2" t="s">
        <v>395</v>
      </c>
      <c r="K506" s="2" t="s">
        <v>393</v>
      </c>
      <c r="L506" s="2" t="s">
        <v>463</v>
      </c>
      <c r="M506" s="2" t="s">
        <v>479</v>
      </c>
    </row>
    <row r="507" spans="1:13">
      <c r="A507" s="96" t="s">
        <v>917</v>
      </c>
      <c r="B507" s="2" t="s">
        <v>499</v>
      </c>
      <c r="C507" s="2" t="s">
        <v>614</v>
      </c>
      <c r="D507" s="2" t="s">
        <v>417</v>
      </c>
      <c r="E507" s="2" t="s">
        <v>355</v>
      </c>
      <c r="F507" s="2" t="s">
        <v>313</v>
      </c>
      <c r="G507" s="2" t="s">
        <v>353</v>
      </c>
      <c r="H507" s="2" t="s">
        <v>422</v>
      </c>
      <c r="I507" s="2" t="s">
        <v>418</v>
      </c>
      <c r="J507" s="2" t="s">
        <v>415</v>
      </c>
      <c r="K507" s="2" t="s">
        <v>424</v>
      </c>
      <c r="L507" s="2" t="s">
        <v>380</v>
      </c>
      <c r="M507" s="2" t="s">
        <v>615</v>
      </c>
    </row>
    <row r="508" spans="1:13">
      <c r="A508" s="96" t="s">
        <v>918</v>
      </c>
      <c r="B508" s="2" t="s">
        <v>590</v>
      </c>
      <c r="C508" s="2" t="s">
        <v>658</v>
      </c>
      <c r="D508" s="2" t="s">
        <v>402</v>
      </c>
      <c r="E508" s="2" t="s">
        <v>323</v>
      </c>
      <c r="F508" s="2" t="s">
        <v>319</v>
      </c>
      <c r="G508" s="2" t="s">
        <v>268</v>
      </c>
      <c r="H508" s="2" t="s">
        <v>393</v>
      </c>
      <c r="I508" s="2" t="s">
        <v>407</v>
      </c>
      <c r="J508" s="2" t="s">
        <v>337</v>
      </c>
      <c r="K508" s="2" t="s">
        <v>290</v>
      </c>
      <c r="L508" s="2" t="s">
        <v>449</v>
      </c>
      <c r="M508" s="2" t="s">
        <v>482</v>
      </c>
    </row>
    <row r="509" spans="1:13">
      <c r="A509" s="96" t="s">
        <v>919</v>
      </c>
      <c r="B509" s="2" t="s">
        <v>639</v>
      </c>
      <c r="C509" s="2" t="s">
        <v>547</v>
      </c>
      <c r="D509" s="2" t="s">
        <v>336</v>
      </c>
      <c r="E509" s="2" t="s">
        <v>378</v>
      </c>
      <c r="F509" s="2" t="s">
        <v>292</v>
      </c>
      <c r="G509" s="2" t="s">
        <v>367</v>
      </c>
      <c r="H509" s="2" t="s">
        <v>422</v>
      </c>
      <c r="I509" s="2" t="s">
        <v>320</v>
      </c>
      <c r="J509" s="2" t="s">
        <v>420</v>
      </c>
      <c r="K509" s="2" t="s">
        <v>426</v>
      </c>
      <c r="L509" s="2" t="s">
        <v>428</v>
      </c>
      <c r="M509" s="2" t="s">
        <v>494</v>
      </c>
    </row>
    <row r="510" spans="1:13">
      <c r="A510" s="96" t="s">
        <v>920</v>
      </c>
      <c r="B510" s="2" t="s">
        <v>587</v>
      </c>
      <c r="C510" s="2" t="s">
        <v>531</v>
      </c>
      <c r="D510" s="2" t="s">
        <v>431</v>
      </c>
      <c r="E510" s="2" t="s">
        <v>355</v>
      </c>
      <c r="F510" s="2" t="s">
        <v>348</v>
      </c>
      <c r="G510" s="2" t="s">
        <v>371</v>
      </c>
      <c r="H510" s="2" t="s">
        <v>340</v>
      </c>
      <c r="I510" s="2" t="s">
        <v>325</v>
      </c>
      <c r="J510" s="2" t="s">
        <v>420</v>
      </c>
      <c r="K510" s="2" t="s">
        <v>424</v>
      </c>
      <c r="L510" s="2" t="s">
        <v>380</v>
      </c>
      <c r="M510" s="2" t="s">
        <v>552</v>
      </c>
    </row>
    <row r="511" spans="1:13">
      <c r="A511" s="96" t="s">
        <v>921</v>
      </c>
      <c r="B511" s="2" t="s">
        <v>580</v>
      </c>
      <c r="C511" s="2" t="s">
        <v>701</v>
      </c>
      <c r="D511" s="2" t="s">
        <v>391</v>
      </c>
      <c r="E511" s="2" t="s">
        <v>334</v>
      </c>
      <c r="F511" s="2" t="s">
        <v>297</v>
      </c>
      <c r="G511" s="2" t="s">
        <v>354</v>
      </c>
      <c r="H511" s="2" t="s">
        <v>424</v>
      </c>
      <c r="I511" s="2" t="s">
        <v>415</v>
      </c>
      <c r="J511" s="2" t="s">
        <v>427</v>
      </c>
      <c r="K511" s="2" t="s">
        <v>290</v>
      </c>
      <c r="L511" s="2" t="s">
        <v>451</v>
      </c>
      <c r="M511" s="2" t="s">
        <v>616</v>
      </c>
    </row>
    <row r="512" spans="1:13">
      <c r="A512" s="96" t="s">
        <v>922</v>
      </c>
      <c r="B512" s="2" t="s">
        <v>600</v>
      </c>
      <c r="C512" s="2" t="s">
        <v>707</v>
      </c>
      <c r="D512" s="2" t="s">
        <v>419</v>
      </c>
      <c r="E512" s="2" t="s">
        <v>352</v>
      </c>
      <c r="F512" s="2" t="s">
        <v>319</v>
      </c>
      <c r="G512" s="2" t="s">
        <v>350</v>
      </c>
      <c r="H512" s="2" t="s">
        <v>398</v>
      </c>
      <c r="I512" s="2" t="s">
        <v>422</v>
      </c>
      <c r="J512" s="2" t="s">
        <v>424</v>
      </c>
      <c r="K512" s="2" t="s">
        <v>347</v>
      </c>
      <c r="L512" s="2" t="s">
        <v>441</v>
      </c>
      <c r="M512" s="2" t="s">
        <v>488</v>
      </c>
    </row>
    <row r="513" spans="1:13">
      <c r="A513" s="96" t="s">
        <v>923</v>
      </c>
      <c r="B513" s="2" t="s">
        <v>586</v>
      </c>
      <c r="C513" s="2" t="s">
        <v>478</v>
      </c>
      <c r="D513" s="2" t="s">
        <v>443</v>
      </c>
      <c r="E513" s="2" t="s">
        <v>298</v>
      </c>
      <c r="F513" s="2" t="s">
        <v>322</v>
      </c>
      <c r="G513" s="2" t="s">
        <v>365</v>
      </c>
      <c r="H513" s="2" t="s">
        <v>309</v>
      </c>
      <c r="I513" s="2" t="s">
        <v>422</v>
      </c>
      <c r="J513" s="2" t="s">
        <v>424</v>
      </c>
      <c r="K513" s="2" t="s">
        <v>347</v>
      </c>
      <c r="L513" s="2" t="s">
        <v>430</v>
      </c>
      <c r="M513" s="2" t="s">
        <v>489</v>
      </c>
    </row>
    <row r="514" spans="1:13">
      <c r="A514" s="96" t="s">
        <v>924</v>
      </c>
      <c r="B514" s="2" t="s">
        <v>586</v>
      </c>
      <c r="C514" s="2" t="s">
        <v>478</v>
      </c>
      <c r="D514" s="2" t="s">
        <v>446</v>
      </c>
      <c r="E514" s="2" t="s">
        <v>298</v>
      </c>
      <c r="F514" s="2" t="s">
        <v>319</v>
      </c>
      <c r="G514" s="2" t="s">
        <v>350</v>
      </c>
      <c r="H514" s="2" t="s">
        <v>398</v>
      </c>
      <c r="I514" s="2" t="s">
        <v>420</v>
      </c>
      <c r="J514" s="2" t="s">
        <v>424</v>
      </c>
      <c r="K514" s="2" t="s">
        <v>344</v>
      </c>
      <c r="L514" s="2" t="s">
        <v>453</v>
      </c>
      <c r="M514" s="2" t="s">
        <v>503</v>
      </c>
    </row>
    <row r="515" spans="1:13">
      <c r="A515" s="96" t="s">
        <v>925</v>
      </c>
      <c r="B515" s="2" t="s">
        <v>586</v>
      </c>
      <c r="C515" s="2" t="s">
        <v>478</v>
      </c>
      <c r="D515" s="2" t="s">
        <v>343</v>
      </c>
      <c r="E515" s="2" t="s">
        <v>334</v>
      </c>
      <c r="F515" s="2" t="s">
        <v>297</v>
      </c>
      <c r="G515" s="2" t="s">
        <v>354</v>
      </c>
      <c r="H515" s="2" t="s">
        <v>426</v>
      </c>
      <c r="I515" s="2" t="s">
        <v>415</v>
      </c>
      <c r="J515" s="2" t="s">
        <v>427</v>
      </c>
      <c r="K515" s="2" t="s">
        <v>396</v>
      </c>
      <c r="L515" s="2" t="s">
        <v>451</v>
      </c>
      <c r="M515" s="2" t="s">
        <v>568</v>
      </c>
    </row>
    <row r="516" spans="1:13">
      <c r="A516" s="96" t="s">
        <v>926</v>
      </c>
      <c r="B516" s="2" t="s">
        <v>653</v>
      </c>
      <c r="C516" s="2" t="s">
        <v>481</v>
      </c>
      <c r="D516" s="2" t="s">
        <v>332</v>
      </c>
      <c r="E516" s="2" t="s">
        <v>327</v>
      </c>
      <c r="F516" s="2" t="s">
        <v>355</v>
      </c>
      <c r="G516" s="2" t="s">
        <v>292</v>
      </c>
      <c r="H516" s="2" t="s">
        <v>393</v>
      </c>
      <c r="I516" s="2" t="s">
        <v>407</v>
      </c>
      <c r="J516" s="2" t="s">
        <v>337</v>
      </c>
      <c r="K516" s="2" t="s">
        <v>290</v>
      </c>
      <c r="L516" s="2" t="s">
        <v>377</v>
      </c>
      <c r="M516" s="2" t="s">
        <v>619</v>
      </c>
    </row>
    <row r="517" spans="1:13">
      <c r="A517" s="76" t="s">
        <v>92</v>
      </c>
      <c r="B517" s="2" t="s">
        <v>686</v>
      </c>
      <c r="C517" s="2" t="s">
        <v>600</v>
      </c>
      <c r="D517" s="2" t="s">
        <v>296</v>
      </c>
      <c r="E517" s="2" t="s">
        <v>152</v>
      </c>
      <c r="F517" s="2" t="s">
        <v>173</v>
      </c>
      <c r="G517" s="2" t="s">
        <v>260</v>
      </c>
      <c r="H517" s="2" t="s">
        <v>446</v>
      </c>
      <c r="I517" s="2" t="s">
        <v>423</v>
      </c>
      <c r="J517" s="2" t="s">
        <v>391</v>
      </c>
      <c r="K517" s="2" t="s">
        <v>253</v>
      </c>
      <c r="L517" s="2" t="s">
        <v>420</v>
      </c>
      <c r="M517" s="2" t="s">
        <v>682</v>
      </c>
    </row>
    <row r="518" spans="1:13">
      <c r="A518" s="96" t="s">
        <v>824</v>
      </c>
      <c r="B518" s="2" t="s">
        <v>731</v>
      </c>
      <c r="C518" s="2" t="s">
        <v>582</v>
      </c>
      <c r="D518" s="2" t="s">
        <v>357</v>
      </c>
      <c r="E518" s="2" t="s">
        <v>228</v>
      </c>
      <c r="F518" s="2" t="s">
        <v>145</v>
      </c>
      <c r="G518" s="2" t="s">
        <v>151</v>
      </c>
      <c r="H518" s="2" t="s">
        <v>407</v>
      </c>
      <c r="I518" s="2" t="s">
        <v>390</v>
      </c>
      <c r="J518" s="2" t="s">
        <v>415</v>
      </c>
      <c r="K518" s="2" t="s">
        <v>341</v>
      </c>
      <c r="L518" s="2" t="s">
        <v>415</v>
      </c>
      <c r="M518" s="2" t="s">
        <v>758</v>
      </c>
    </row>
    <row r="519" spans="1:13">
      <c r="A519" s="96" t="s">
        <v>826</v>
      </c>
      <c r="B519" s="2" t="s">
        <v>620</v>
      </c>
      <c r="C519" s="2" t="s">
        <v>669</v>
      </c>
      <c r="D519" s="2" t="s">
        <v>371</v>
      </c>
      <c r="E519" s="2" t="s">
        <v>214</v>
      </c>
      <c r="F519" s="2" t="s">
        <v>150</v>
      </c>
      <c r="G519" s="2" t="s">
        <v>253</v>
      </c>
      <c r="H519" s="2" t="s">
        <v>460</v>
      </c>
      <c r="I519" s="2" t="s">
        <v>436</v>
      </c>
      <c r="J519" s="2" t="s">
        <v>443</v>
      </c>
      <c r="K519" s="2" t="s">
        <v>306</v>
      </c>
      <c r="L519" s="2" t="s">
        <v>390</v>
      </c>
      <c r="M519" s="2" t="s">
        <v>583</v>
      </c>
    </row>
    <row r="520" spans="1:13">
      <c r="A520" s="96" t="s">
        <v>828</v>
      </c>
      <c r="B520" s="2" t="s">
        <v>637</v>
      </c>
      <c r="C520" s="2" t="s">
        <v>599</v>
      </c>
      <c r="D520" s="2" t="s">
        <v>305</v>
      </c>
      <c r="E520" s="2" t="s">
        <v>227</v>
      </c>
      <c r="F520" s="2" t="s">
        <v>150</v>
      </c>
      <c r="G520" s="2" t="s">
        <v>249</v>
      </c>
      <c r="H520" s="2" t="s">
        <v>460</v>
      </c>
      <c r="I520" s="2" t="s">
        <v>436</v>
      </c>
      <c r="J520" s="2" t="s">
        <v>391</v>
      </c>
      <c r="K520" s="2" t="s">
        <v>306</v>
      </c>
      <c r="L520" s="2" t="s">
        <v>390</v>
      </c>
      <c r="M520" s="2" t="s">
        <v>513</v>
      </c>
    </row>
    <row r="521" spans="1:13">
      <c r="A521" s="96" t="s">
        <v>830</v>
      </c>
      <c r="B521" s="2" t="s">
        <v>760</v>
      </c>
      <c r="C521" s="2" t="s">
        <v>664</v>
      </c>
      <c r="D521" s="2" t="s">
        <v>371</v>
      </c>
      <c r="E521" s="2" t="s">
        <v>216</v>
      </c>
      <c r="F521" s="2" t="s">
        <v>166</v>
      </c>
      <c r="G521" s="2" t="s">
        <v>217</v>
      </c>
      <c r="H521" s="2" t="s">
        <v>402</v>
      </c>
      <c r="I521" s="2" t="s">
        <v>417</v>
      </c>
      <c r="J521" s="2" t="s">
        <v>391</v>
      </c>
      <c r="K521" s="2" t="s">
        <v>294</v>
      </c>
      <c r="L521" s="2" t="s">
        <v>390</v>
      </c>
      <c r="M521" s="2" t="s">
        <v>513</v>
      </c>
    </row>
    <row r="522" spans="1:13">
      <c r="A522" s="96" t="s">
        <v>834</v>
      </c>
      <c r="B522" s="2" t="s">
        <v>617</v>
      </c>
      <c r="C522" s="2" t="s">
        <v>613</v>
      </c>
      <c r="D522" s="2" t="s">
        <v>297</v>
      </c>
      <c r="E522" s="2" t="s">
        <v>260</v>
      </c>
      <c r="F522" s="2" t="s">
        <v>202</v>
      </c>
      <c r="G522" s="2" t="s">
        <v>194</v>
      </c>
      <c r="H522" s="2" t="s">
        <v>418</v>
      </c>
      <c r="I522" s="2" t="s">
        <v>343</v>
      </c>
      <c r="J522" s="2" t="s">
        <v>418</v>
      </c>
      <c r="K522" s="2" t="s">
        <v>177</v>
      </c>
      <c r="L522" s="2" t="s">
        <v>325</v>
      </c>
      <c r="M522" s="2" t="s">
        <v>519</v>
      </c>
    </row>
    <row r="523" spans="1:13">
      <c r="A523" s="96" t="s">
        <v>836</v>
      </c>
      <c r="B523" s="2" t="s">
        <v>769</v>
      </c>
      <c r="C523" s="2" t="s">
        <v>607</v>
      </c>
      <c r="D523" s="2" t="s">
        <v>312</v>
      </c>
      <c r="E523" s="2" t="s">
        <v>192</v>
      </c>
      <c r="F523" s="2" t="s">
        <v>244</v>
      </c>
      <c r="G523" s="2" t="s">
        <v>242</v>
      </c>
      <c r="H523" s="2" t="s">
        <v>419</v>
      </c>
      <c r="I523" s="2" t="s">
        <v>332</v>
      </c>
      <c r="J523" s="2" t="s">
        <v>419</v>
      </c>
      <c r="K523" s="2" t="s">
        <v>273</v>
      </c>
      <c r="L523" s="2" t="s">
        <v>390</v>
      </c>
      <c r="M523" s="2" t="s">
        <v>583</v>
      </c>
    </row>
    <row r="524" spans="1:13">
      <c r="A524" s="96" t="s">
        <v>839</v>
      </c>
      <c r="B524" s="2" t="s">
        <v>761</v>
      </c>
      <c r="C524" s="2" t="s">
        <v>664</v>
      </c>
      <c r="D524" s="2" t="s">
        <v>268</v>
      </c>
      <c r="E524" s="2" t="s">
        <v>195</v>
      </c>
      <c r="F524" s="2" t="s">
        <v>148</v>
      </c>
      <c r="G524" s="2" t="s">
        <v>251</v>
      </c>
      <c r="H524" s="2" t="s">
        <v>391</v>
      </c>
      <c r="I524" s="2" t="s">
        <v>417</v>
      </c>
      <c r="J524" s="2" t="s">
        <v>391</v>
      </c>
      <c r="K524" s="2" t="s">
        <v>276</v>
      </c>
      <c r="L524" s="2" t="s">
        <v>443</v>
      </c>
      <c r="M524" s="2" t="s">
        <v>712</v>
      </c>
    </row>
    <row r="525" spans="1:13">
      <c r="A525" s="96" t="s">
        <v>841</v>
      </c>
      <c r="B525" s="2" t="s">
        <v>717</v>
      </c>
      <c r="C525" s="2" t="s">
        <v>549</v>
      </c>
      <c r="D525" s="2" t="s">
        <v>378</v>
      </c>
      <c r="E525" s="2" t="s">
        <v>219</v>
      </c>
      <c r="F525" s="2" t="s">
        <v>222</v>
      </c>
      <c r="G525" s="2" t="s">
        <v>256</v>
      </c>
      <c r="H525" s="2" t="s">
        <v>316</v>
      </c>
      <c r="I525" s="2" t="s">
        <v>461</v>
      </c>
      <c r="J525" s="2" t="s">
        <v>316</v>
      </c>
      <c r="K525" s="2" t="s">
        <v>177</v>
      </c>
      <c r="L525" s="2" t="s">
        <v>446</v>
      </c>
      <c r="M525" s="2" t="s">
        <v>675</v>
      </c>
    </row>
    <row r="526" spans="1:13">
      <c r="A526" s="96" t="s">
        <v>842</v>
      </c>
      <c r="B526" s="2" t="s">
        <v>592</v>
      </c>
      <c r="C526" s="2" t="s">
        <v>550</v>
      </c>
      <c r="D526" s="2" t="s">
        <v>322</v>
      </c>
      <c r="E526" s="2" t="s">
        <v>260</v>
      </c>
      <c r="F526" s="2" t="s">
        <v>141</v>
      </c>
      <c r="G526" s="2" t="s">
        <v>216</v>
      </c>
      <c r="H526" s="2" t="s">
        <v>418</v>
      </c>
      <c r="I526" s="2" t="s">
        <v>343</v>
      </c>
      <c r="J526" s="2" t="s">
        <v>418</v>
      </c>
      <c r="K526" s="2" t="s">
        <v>177</v>
      </c>
      <c r="L526" s="2" t="s">
        <v>446</v>
      </c>
      <c r="M526" s="2" t="s">
        <v>651</v>
      </c>
    </row>
    <row r="527" spans="1:13">
      <c r="A527" s="96" t="s">
        <v>844</v>
      </c>
      <c r="B527" s="2" t="s">
        <v>711</v>
      </c>
      <c r="C527" s="2" t="s">
        <v>536</v>
      </c>
      <c r="D527" s="2" t="s">
        <v>297</v>
      </c>
      <c r="E527" s="2" t="s">
        <v>178</v>
      </c>
      <c r="F527" s="2" t="s">
        <v>244</v>
      </c>
      <c r="G527" s="2" t="s">
        <v>247</v>
      </c>
      <c r="H527" s="2" t="s">
        <v>443</v>
      </c>
      <c r="I527" s="2" t="s">
        <v>436</v>
      </c>
      <c r="J527" s="2" t="s">
        <v>391</v>
      </c>
      <c r="K527" s="2" t="s">
        <v>341</v>
      </c>
      <c r="L527" s="2" t="s">
        <v>332</v>
      </c>
      <c r="M527" s="2" t="s">
        <v>645</v>
      </c>
    </row>
    <row r="528" spans="1:13">
      <c r="A528" s="96" t="s">
        <v>847</v>
      </c>
      <c r="B528" s="2" t="s">
        <v>656</v>
      </c>
      <c r="C528" s="2" t="s">
        <v>664</v>
      </c>
      <c r="D528" s="2" t="s">
        <v>378</v>
      </c>
      <c r="E528" s="2" t="s">
        <v>214</v>
      </c>
      <c r="F528" s="2" t="s">
        <v>200</v>
      </c>
      <c r="G528" s="2" t="s">
        <v>252</v>
      </c>
      <c r="H528" s="2" t="s">
        <v>343</v>
      </c>
      <c r="I528" s="2" t="s">
        <v>336</v>
      </c>
      <c r="J528" s="2" t="s">
        <v>461</v>
      </c>
      <c r="K528" s="2" t="s">
        <v>295</v>
      </c>
      <c r="L528" s="2" t="s">
        <v>423</v>
      </c>
      <c r="M528" s="2" t="s">
        <v>580</v>
      </c>
    </row>
    <row r="529" spans="1:13">
      <c r="A529" s="96" t="s">
        <v>851</v>
      </c>
      <c r="B529" s="2" t="s">
        <v>589</v>
      </c>
      <c r="C529" s="2" t="s">
        <v>536</v>
      </c>
      <c r="D529" s="2" t="s">
        <v>318</v>
      </c>
      <c r="E529" s="2" t="s">
        <v>195</v>
      </c>
      <c r="F529" s="2" t="s">
        <v>148</v>
      </c>
      <c r="G529" s="2" t="s">
        <v>255</v>
      </c>
      <c r="H529" s="2" t="s">
        <v>460</v>
      </c>
      <c r="I529" s="2" t="s">
        <v>431</v>
      </c>
      <c r="J529" s="2" t="s">
        <v>460</v>
      </c>
      <c r="K529" s="2" t="s">
        <v>293</v>
      </c>
      <c r="L529" s="2" t="s">
        <v>436</v>
      </c>
      <c r="M529" s="2" t="s">
        <v>490</v>
      </c>
    </row>
    <row r="530" spans="1:13">
      <c r="A530" s="96" t="s">
        <v>852</v>
      </c>
      <c r="B530" s="2" t="s">
        <v>762</v>
      </c>
      <c r="C530" s="2" t="s">
        <v>744</v>
      </c>
      <c r="D530" s="2" t="s">
        <v>365</v>
      </c>
      <c r="E530" s="2" t="s">
        <v>216</v>
      </c>
      <c r="F530" s="2" t="s">
        <v>150</v>
      </c>
      <c r="G530" s="2" t="s">
        <v>151</v>
      </c>
      <c r="H530" s="2" t="s">
        <v>332</v>
      </c>
      <c r="I530" s="2" t="s">
        <v>389</v>
      </c>
      <c r="J530" s="2" t="s">
        <v>332</v>
      </c>
      <c r="K530" s="2" t="s">
        <v>274</v>
      </c>
      <c r="L530" s="2" t="s">
        <v>423</v>
      </c>
      <c r="M530" s="2" t="s">
        <v>580</v>
      </c>
    </row>
    <row r="531" spans="1:13">
      <c r="A531" s="96" t="s">
        <v>854</v>
      </c>
      <c r="B531" s="2" t="s">
        <v>763</v>
      </c>
      <c r="C531" s="2" t="s">
        <v>530</v>
      </c>
      <c r="D531" s="2" t="s">
        <v>348</v>
      </c>
      <c r="E531" s="2" t="s">
        <v>214</v>
      </c>
      <c r="F531" s="2" t="s">
        <v>208</v>
      </c>
      <c r="G531" s="2" t="s">
        <v>255</v>
      </c>
      <c r="H531" s="2" t="s">
        <v>461</v>
      </c>
      <c r="I531" s="2" t="s">
        <v>336</v>
      </c>
      <c r="J531" s="2" t="s">
        <v>461</v>
      </c>
      <c r="K531" s="2" t="s">
        <v>295</v>
      </c>
      <c r="L531" s="2" t="s">
        <v>417</v>
      </c>
      <c r="M531" s="2" t="s">
        <v>490</v>
      </c>
    </row>
    <row r="532" spans="1:13">
      <c r="A532" s="96" t="s">
        <v>856</v>
      </c>
      <c r="B532" s="2" t="s">
        <v>730</v>
      </c>
      <c r="C532" s="2" t="s">
        <v>498</v>
      </c>
      <c r="D532" s="2" t="s">
        <v>326</v>
      </c>
      <c r="E532" s="2" t="s">
        <v>247</v>
      </c>
      <c r="F532" s="2" t="s">
        <v>207</v>
      </c>
      <c r="G532" s="2" t="s">
        <v>198</v>
      </c>
      <c r="H532" s="2" t="s">
        <v>406</v>
      </c>
      <c r="I532" s="2" t="s">
        <v>434</v>
      </c>
      <c r="J532" s="2" t="s">
        <v>406</v>
      </c>
      <c r="K532" s="2" t="s">
        <v>306</v>
      </c>
      <c r="L532" s="2" t="s">
        <v>404</v>
      </c>
      <c r="M532" s="2" t="s">
        <v>572</v>
      </c>
    </row>
    <row r="533" spans="1:13">
      <c r="A533" s="96" t="s">
        <v>858</v>
      </c>
      <c r="B533" s="2" t="s">
        <v>635</v>
      </c>
      <c r="C533" s="2" t="s">
        <v>738</v>
      </c>
      <c r="D533" s="2" t="s">
        <v>333</v>
      </c>
      <c r="E533" s="2" t="s">
        <v>197</v>
      </c>
      <c r="F533" s="2" t="s">
        <v>264</v>
      </c>
      <c r="G533" s="2" t="s">
        <v>253</v>
      </c>
      <c r="H533" s="2" t="s">
        <v>434</v>
      </c>
      <c r="I533" s="2" t="s">
        <v>388</v>
      </c>
      <c r="J533" s="2" t="s">
        <v>425</v>
      </c>
      <c r="K533" s="2" t="s">
        <v>302</v>
      </c>
      <c r="L533" s="2" t="s">
        <v>444</v>
      </c>
      <c r="M533" s="2" t="s">
        <v>572</v>
      </c>
    </row>
    <row r="534" spans="1:13">
      <c r="A534" s="96" t="s">
        <v>861</v>
      </c>
      <c r="B534" s="2" t="s">
        <v>726</v>
      </c>
      <c r="C534" s="2" t="s">
        <v>652</v>
      </c>
      <c r="D534" s="2" t="s">
        <v>426</v>
      </c>
      <c r="E534" s="2" t="s">
        <v>201</v>
      </c>
      <c r="F534" s="2" t="s">
        <v>228</v>
      </c>
      <c r="G534" s="2" t="s">
        <v>246</v>
      </c>
      <c r="H534" s="2" t="s">
        <v>364</v>
      </c>
      <c r="I534" s="2" t="s">
        <v>456</v>
      </c>
      <c r="J534" s="2" t="s">
        <v>364</v>
      </c>
      <c r="K534" s="2" t="s">
        <v>302</v>
      </c>
      <c r="L534" s="2" t="s">
        <v>404</v>
      </c>
      <c r="M534" s="2" t="s">
        <v>499</v>
      </c>
    </row>
    <row r="535" spans="1:13">
      <c r="A535" s="96" t="s">
        <v>865</v>
      </c>
      <c r="B535" s="2" t="s">
        <v>555</v>
      </c>
      <c r="C535" s="2" t="s">
        <v>596</v>
      </c>
      <c r="D535" s="2" t="s">
        <v>383</v>
      </c>
      <c r="E535" s="2" t="s">
        <v>242</v>
      </c>
      <c r="F535" s="2" t="s">
        <v>218</v>
      </c>
      <c r="G535" s="2" t="s">
        <v>198</v>
      </c>
      <c r="H535" s="2" t="s">
        <v>404</v>
      </c>
      <c r="I535" s="2" t="s">
        <v>450</v>
      </c>
      <c r="J535" s="2" t="s">
        <v>404</v>
      </c>
      <c r="K535" s="2" t="s">
        <v>321</v>
      </c>
      <c r="L535" s="2" t="s">
        <v>409</v>
      </c>
      <c r="M535" s="2" t="s">
        <v>728</v>
      </c>
    </row>
    <row r="536" spans="1:13">
      <c r="A536" s="96" t="s">
        <v>866</v>
      </c>
      <c r="B536" s="2" t="s">
        <v>548</v>
      </c>
      <c r="C536" s="2" t="s">
        <v>698</v>
      </c>
      <c r="D536" s="2" t="s">
        <v>304</v>
      </c>
      <c r="E536" s="2" t="s">
        <v>255</v>
      </c>
      <c r="F536" s="2" t="s">
        <v>212</v>
      </c>
      <c r="G536" s="2" t="s">
        <v>221</v>
      </c>
      <c r="H536" s="2" t="s">
        <v>444</v>
      </c>
      <c r="I536" s="2" t="s">
        <v>450</v>
      </c>
      <c r="J536" s="2" t="s">
        <v>404</v>
      </c>
      <c r="K536" s="2" t="s">
        <v>311</v>
      </c>
      <c r="L536" s="2" t="s">
        <v>461</v>
      </c>
      <c r="M536" s="2" t="s">
        <v>586</v>
      </c>
    </row>
    <row r="537" spans="1:13">
      <c r="A537" s="96" t="s">
        <v>868</v>
      </c>
      <c r="B537" s="2" t="s">
        <v>749</v>
      </c>
      <c r="C537" s="2" t="s">
        <v>697</v>
      </c>
      <c r="D537" s="2" t="s">
        <v>350</v>
      </c>
      <c r="E537" s="2" t="s">
        <v>214</v>
      </c>
      <c r="F537" s="2" t="s">
        <v>200</v>
      </c>
      <c r="G537" s="2" t="s">
        <v>255</v>
      </c>
      <c r="H537" s="2" t="s">
        <v>406</v>
      </c>
      <c r="I537" s="2" t="s">
        <v>425</v>
      </c>
      <c r="J537" s="2" t="s">
        <v>406</v>
      </c>
      <c r="K537" s="2" t="s">
        <v>276</v>
      </c>
      <c r="L537" s="2" t="s">
        <v>446</v>
      </c>
      <c r="M537" s="2" t="s">
        <v>597</v>
      </c>
    </row>
    <row r="538" spans="1:13">
      <c r="A538" s="96" t="s">
        <v>871</v>
      </c>
      <c r="B538" s="2" t="s">
        <v>771</v>
      </c>
      <c r="C538" s="2" t="s">
        <v>664</v>
      </c>
      <c r="D538" s="2" t="s">
        <v>365</v>
      </c>
      <c r="E538" s="2" t="s">
        <v>126</v>
      </c>
      <c r="F538" s="2" t="s">
        <v>209</v>
      </c>
      <c r="G538" s="2" t="s">
        <v>256</v>
      </c>
      <c r="H538" s="2" t="s">
        <v>431</v>
      </c>
      <c r="I538" s="2" t="s">
        <v>434</v>
      </c>
      <c r="J538" s="2" t="s">
        <v>431</v>
      </c>
      <c r="K538" s="2" t="s">
        <v>341</v>
      </c>
      <c r="L538" s="2" t="s">
        <v>443</v>
      </c>
      <c r="M538" s="2" t="s">
        <v>583</v>
      </c>
    </row>
    <row r="539" spans="1:13">
      <c r="A539" s="96" t="s">
        <v>872</v>
      </c>
      <c r="B539" s="2" t="s">
        <v>696</v>
      </c>
      <c r="C539" s="2" t="s">
        <v>607</v>
      </c>
      <c r="D539" s="2" t="s">
        <v>313</v>
      </c>
      <c r="E539" s="2" t="s">
        <v>262</v>
      </c>
      <c r="F539" s="2" t="s">
        <v>145</v>
      </c>
      <c r="G539" s="2" t="s">
        <v>167</v>
      </c>
      <c r="H539" s="2" t="s">
        <v>332</v>
      </c>
      <c r="I539" s="2" t="s">
        <v>339</v>
      </c>
      <c r="J539" s="2" t="s">
        <v>308</v>
      </c>
      <c r="K539" s="2" t="s">
        <v>241</v>
      </c>
      <c r="L539" s="2" t="s">
        <v>418</v>
      </c>
      <c r="M539" s="2" t="s">
        <v>753</v>
      </c>
    </row>
    <row r="540" spans="1:13">
      <c r="A540" s="96" t="s">
        <v>874</v>
      </c>
      <c r="B540" s="2" t="s">
        <v>735</v>
      </c>
      <c r="C540" s="2" t="s">
        <v>549</v>
      </c>
      <c r="D540" s="2" t="s">
        <v>355</v>
      </c>
      <c r="E540" s="2" t="s">
        <v>228</v>
      </c>
      <c r="F540" s="2" t="s">
        <v>173</v>
      </c>
      <c r="G540" s="2" t="s">
        <v>195</v>
      </c>
      <c r="H540" s="2" t="s">
        <v>402</v>
      </c>
      <c r="I540" s="2" t="s">
        <v>336</v>
      </c>
      <c r="J540" s="2" t="s">
        <v>343</v>
      </c>
      <c r="K540" s="2" t="s">
        <v>254</v>
      </c>
      <c r="L540" s="2" t="s">
        <v>392</v>
      </c>
      <c r="M540" s="2" t="s">
        <v>658</v>
      </c>
    </row>
    <row r="541" spans="1:13">
      <c r="A541" s="96" t="s">
        <v>876</v>
      </c>
      <c r="B541" s="2" t="s">
        <v>498</v>
      </c>
      <c r="C541" s="2" t="s">
        <v>732</v>
      </c>
      <c r="D541" s="2" t="s">
        <v>287</v>
      </c>
      <c r="E541" s="2" t="s">
        <v>248</v>
      </c>
      <c r="F541" s="2" t="s">
        <v>261</v>
      </c>
      <c r="G541" s="2" t="s">
        <v>262</v>
      </c>
      <c r="H541" s="2" t="s">
        <v>418</v>
      </c>
      <c r="I541" s="2" t="s">
        <v>461</v>
      </c>
      <c r="J541" s="2" t="s">
        <v>316</v>
      </c>
      <c r="K541" s="2" t="s">
        <v>253</v>
      </c>
      <c r="L541" s="2" t="s">
        <v>393</v>
      </c>
      <c r="M541" s="2" t="s">
        <v>689</v>
      </c>
    </row>
    <row r="542" spans="1:13">
      <c r="A542" s="96" t="s">
        <v>877</v>
      </c>
      <c r="B542" s="2" t="s">
        <v>699</v>
      </c>
      <c r="C542" s="2" t="s">
        <v>608</v>
      </c>
      <c r="D542" s="2" t="s">
        <v>334</v>
      </c>
      <c r="E542" s="2" t="s">
        <v>264</v>
      </c>
      <c r="F542" s="2" t="s">
        <v>169</v>
      </c>
      <c r="G542" s="2" t="s">
        <v>126</v>
      </c>
      <c r="H542" s="2" t="s">
        <v>391</v>
      </c>
      <c r="I542" s="2" t="s">
        <v>423</v>
      </c>
      <c r="J542" s="2" t="s">
        <v>391</v>
      </c>
      <c r="K542" s="2" t="s">
        <v>246</v>
      </c>
      <c r="L542" s="2" t="s">
        <v>427</v>
      </c>
      <c r="M542" s="2" t="s">
        <v>707</v>
      </c>
    </row>
    <row r="543" spans="1:13">
      <c r="A543" s="96" t="s">
        <v>879</v>
      </c>
      <c r="B543" s="2" t="s">
        <v>696</v>
      </c>
      <c r="C543" s="2" t="s">
        <v>671</v>
      </c>
      <c r="D543" s="2" t="s">
        <v>319</v>
      </c>
      <c r="E543" s="2" t="s">
        <v>228</v>
      </c>
      <c r="F543" s="2" t="s">
        <v>173</v>
      </c>
      <c r="G543" s="2" t="s">
        <v>195</v>
      </c>
      <c r="H543" s="2" t="s">
        <v>343</v>
      </c>
      <c r="I543" s="2" t="s">
        <v>389</v>
      </c>
      <c r="J543" s="2" t="s">
        <v>461</v>
      </c>
      <c r="K543" s="2" t="s">
        <v>254</v>
      </c>
      <c r="L543" s="2" t="s">
        <v>420</v>
      </c>
      <c r="M543" s="2" t="s">
        <v>537</v>
      </c>
    </row>
    <row r="544" spans="1:13">
      <c r="A544" s="96" t="s">
        <v>881</v>
      </c>
      <c r="B544" s="2" t="s">
        <v>737</v>
      </c>
      <c r="C544" s="2" t="s">
        <v>485</v>
      </c>
      <c r="D544" s="2" t="s">
        <v>370</v>
      </c>
      <c r="E544" s="2" t="s">
        <v>192</v>
      </c>
      <c r="F544" s="2" t="s">
        <v>209</v>
      </c>
      <c r="G544" s="2" t="s">
        <v>256</v>
      </c>
      <c r="H544" s="2" t="s">
        <v>431</v>
      </c>
      <c r="I544" s="2" t="s">
        <v>434</v>
      </c>
      <c r="J544" s="2" t="s">
        <v>423</v>
      </c>
      <c r="K544" s="2" t="s">
        <v>341</v>
      </c>
      <c r="L544" s="2" t="s">
        <v>390</v>
      </c>
      <c r="M544" s="2" t="s">
        <v>753</v>
      </c>
    </row>
    <row r="545" spans="1:13">
      <c r="A545" s="96" t="s">
        <v>883</v>
      </c>
      <c r="B545" s="2" t="s">
        <v>571</v>
      </c>
      <c r="C545" s="2" t="s">
        <v>622</v>
      </c>
      <c r="D545" s="2" t="s">
        <v>382</v>
      </c>
      <c r="E545" s="2" t="s">
        <v>262</v>
      </c>
      <c r="F545" s="2" t="s">
        <v>119</v>
      </c>
      <c r="G545" s="2" t="s">
        <v>227</v>
      </c>
      <c r="H545" s="2" t="s">
        <v>436</v>
      </c>
      <c r="I545" s="2" t="s">
        <v>416</v>
      </c>
      <c r="J545" s="2" t="s">
        <v>308</v>
      </c>
      <c r="K545" s="2" t="s">
        <v>134</v>
      </c>
      <c r="L545" s="2" t="s">
        <v>405</v>
      </c>
      <c r="M545" s="2" t="s">
        <v>628</v>
      </c>
    </row>
    <row r="546" spans="1:13">
      <c r="A546" s="96" t="s">
        <v>884</v>
      </c>
      <c r="B546" s="2" t="s">
        <v>602</v>
      </c>
      <c r="C546" s="2" t="s">
        <v>693</v>
      </c>
      <c r="D546" s="2" t="s">
        <v>421</v>
      </c>
      <c r="E546" s="2" t="s">
        <v>223</v>
      </c>
      <c r="F546" s="2" t="s">
        <v>173</v>
      </c>
      <c r="G546" s="2" t="s">
        <v>262</v>
      </c>
      <c r="H546" s="2" t="s">
        <v>343</v>
      </c>
      <c r="I546" s="2" t="s">
        <v>336</v>
      </c>
      <c r="J546" s="2" t="s">
        <v>402</v>
      </c>
      <c r="K546" s="2" t="s">
        <v>177</v>
      </c>
      <c r="L546" s="2" t="s">
        <v>392</v>
      </c>
      <c r="M546" s="2" t="s">
        <v>701</v>
      </c>
    </row>
    <row r="547" spans="1:13">
      <c r="A547" s="96" t="s">
        <v>887</v>
      </c>
      <c r="B547" s="2" t="s">
        <v>747</v>
      </c>
      <c r="C547" s="2" t="s">
        <v>671</v>
      </c>
      <c r="D547" s="2" t="s">
        <v>386</v>
      </c>
      <c r="E547" s="2" t="s">
        <v>152</v>
      </c>
      <c r="F547" s="2" t="s">
        <v>145</v>
      </c>
      <c r="G547" s="2" t="s">
        <v>224</v>
      </c>
      <c r="H547" s="2" t="s">
        <v>446</v>
      </c>
      <c r="I547" s="2" t="s">
        <v>423</v>
      </c>
      <c r="J547" s="2" t="s">
        <v>443</v>
      </c>
      <c r="K547" s="2" t="s">
        <v>220</v>
      </c>
      <c r="L547" s="2" t="s">
        <v>422</v>
      </c>
      <c r="M547" s="2" t="s">
        <v>658</v>
      </c>
    </row>
    <row r="548" spans="1:13">
      <c r="A548" s="96" t="s">
        <v>889</v>
      </c>
      <c r="B548" s="2" t="s">
        <v>688</v>
      </c>
      <c r="C548" s="2" t="s">
        <v>767</v>
      </c>
      <c r="D548" s="2" t="s">
        <v>361</v>
      </c>
      <c r="E548" s="2" t="s">
        <v>196</v>
      </c>
      <c r="F548" s="2" t="s">
        <v>144</v>
      </c>
      <c r="G548" s="2" t="s">
        <v>152</v>
      </c>
      <c r="H548" s="2" t="s">
        <v>419</v>
      </c>
      <c r="I548" s="2" t="s">
        <v>308</v>
      </c>
      <c r="J548" s="2" t="s">
        <v>390</v>
      </c>
      <c r="K548" s="2" t="s">
        <v>135</v>
      </c>
      <c r="L548" s="2" t="s">
        <v>427</v>
      </c>
      <c r="M548" s="2" t="s">
        <v>689</v>
      </c>
    </row>
    <row r="549" spans="1:13">
      <c r="A549" s="96" t="s">
        <v>891</v>
      </c>
      <c r="B549" s="2" t="s">
        <v>697</v>
      </c>
      <c r="C549" s="2" t="s">
        <v>728</v>
      </c>
      <c r="D549" s="2" t="s">
        <v>322</v>
      </c>
      <c r="E549" s="2" t="s">
        <v>206</v>
      </c>
      <c r="F549" s="2" t="s">
        <v>243</v>
      </c>
      <c r="G549" s="2" t="s">
        <v>213</v>
      </c>
      <c r="H549" s="2" t="s">
        <v>407</v>
      </c>
      <c r="I549" s="2" t="s">
        <v>391</v>
      </c>
      <c r="J549" s="2" t="s">
        <v>395</v>
      </c>
      <c r="K549" s="2" t="s">
        <v>256</v>
      </c>
      <c r="L549" s="2" t="s">
        <v>426</v>
      </c>
      <c r="M549" s="2" t="s">
        <v>478</v>
      </c>
    </row>
    <row r="550" spans="1:13">
      <c r="A550" s="96" t="s">
        <v>893</v>
      </c>
      <c r="B550" s="2" t="s">
        <v>525</v>
      </c>
      <c r="C550" s="2" t="s">
        <v>490</v>
      </c>
      <c r="D550" s="2" t="s">
        <v>352</v>
      </c>
      <c r="E550" s="2" t="s">
        <v>245</v>
      </c>
      <c r="F550" s="2" t="s">
        <v>118</v>
      </c>
      <c r="G550" s="2" t="s">
        <v>207</v>
      </c>
      <c r="H550" s="2" t="s">
        <v>415</v>
      </c>
      <c r="I550" s="2" t="s">
        <v>419</v>
      </c>
      <c r="J550" s="2" t="s">
        <v>415</v>
      </c>
      <c r="K550" s="2" t="s">
        <v>216</v>
      </c>
      <c r="L550" s="2" t="s">
        <v>398</v>
      </c>
      <c r="M550" s="2" t="s">
        <v>567</v>
      </c>
    </row>
    <row r="551" spans="1:13">
      <c r="A551" s="96" t="s">
        <v>895</v>
      </c>
      <c r="B551" s="2" t="s">
        <v>673</v>
      </c>
      <c r="C551" s="2" t="s">
        <v>513</v>
      </c>
      <c r="D551" s="2" t="s">
        <v>342</v>
      </c>
      <c r="E551" s="2" t="s">
        <v>244</v>
      </c>
      <c r="F551" s="2" t="s">
        <v>266</v>
      </c>
      <c r="G551" s="2" t="s">
        <v>150</v>
      </c>
      <c r="H551" s="2" t="s">
        <v>337</v>
      </c>
      <c r="I551" s="2" t="s">
        <v>325</v>
      </c>
      <c r="J551" s="2" t="s">
        <v>337</v>
      </c>
      <c r="K551" s="2" t="s">
        <v>199</v>
      </c>
      <c r="L551" s="2" t="s">
        <v>396</v>
      </c>
      <c r="M551" s="2" t="s">
        <v>591</v>
      </c>
    </row>
    <row r="552" spans="1:13">
      <c r="A552" s="96" t="s">
        <v>896</v>
      </c>
      <c r="B552" s="2" t="s">
        <v>727</v>
      </c>
      <c r="C552" s="2" t="s">
        <v>470</v>
      </c>
      <c r="D552" s="2" t="s">
        <v>314</v>
      </c>
      <c r="E552" s="2" t="s">
        <v>148</v>
      </c>
      <c r="F552" s="2" t="s">
        <v>175</v>
      </c>
      <c r="G552" s="2" t="s">
        <v>218</v>
      </c>
      <c r="H552" s="2" t="s">
        <v>415</v>
      </c>
      <c r="I552" s="2" t="s">
        <v>419</v>
      </c>
      <c r="J552" s="2" t="s">
        <v>395</v>
      </c>
      <c r="K552" s="2" t="s">
        <v>194</v>
      </c>
      <c r="L552" s="2" t="s">
        <v>426</v>
      </c>
      <c r="M552" s="2" t="s">
        <v>478</v>
      </c>
    </row>
    <row r="553" spans="1:13">
      <c r="A553" s="96" t="s">
        <v>897</v>
      </c>
      <c r="B553" s="2" t="s">
        <v>469</v>
      </c>
      <c r="C553" s="2" t="s">
        <v>474</v>
      </c>
      <c r="D553" s="2" t="s">
        <v>284</v>
      </c>
      <c r="E553" s="2" t="s">
        <v>244</v>
      </c>
      <c r="F553" s="2" t="s">
        <v>266</v>
      </c>
      <c r="G553" s="2" t="s">
        <v>245</v>
      </c>
      <c r="H553" s="2" t="s">
        <v>422</v>
      </c>
      <c r="I553" s="2" t="s">
        <v>316</v>
      </c>
      <c r="J553" s="2" t="s">
        <v>422</v>
      </c>
      <c r="K553" s="2" t="s">
        <v>227</v>
      </c>
      <c r="L553" s="2" t="s">
        <v>309</v>
      </c>
      <c r="M553" s="2" t="s">
        <v>666</v>
      </c>
    </row>
    <row r="554" spans="1:13">
      <c r="A554" s="96" t="s">
        <v>898</v>
      </c>
      <c r="B554" s="2" t="s">
        <v>671</v>
      </c>
      <c r="C554" s="2" t="s">
        <v>500</v>
      </c>
      <c r="D554" s="2" t="s">
        <v>302</v>
      </c>
      <c r="E554" s="2" t="s">
        <v>148</v>
      </c>
      <c r="F554" s="2" t="s">
        <v>149</v>
      </c>
      <c r="G554" s="2" t="s">
        <v>218</v>
      </c>
      <c r="H554" s="2" t="s">
        <v>415</v>
      </c>
      <c r="I554" s="2" t="s">
        <v>419</v>
      </c>
      <c r="J554" s="2" t="s">
        <v>415</v>
      </c>
      <c r="K554" s="2" t="s">
        <v>216</v>
      </c>
      <c r="L554" s="2" t="s">
        <v>424</v>
      </c>
      <c r="M554" s="2" t="s">
        <v>481</v>
      </c>
    </row>
    <row r="555" spans="1:13">
      <c r="A555" s="96" t="s">
        <v>900</v>
      </c>
      <c r="B555" s="2" t="s">
        <v>598</v>
      </c>
      <c r="C555" s="2" t="s">
        <v>539</v>
      </c>
      <c r="D555" s="2" t="s">
        <v>341</v>
      </c>
      <c r="E555" s="2" t="s">
        <v>148</v>
      </c>
      <c r="F555" s="2" t="s">
        <v>265</v>
      </c>
      <c r="G555" s="2" t="s">
        <v>166</v>
      </c>
      <c r="H555" s="2" t="s">
        <v>420</v>
      </c>
      <c r="I555" s="2" t="s">
        <v>390</v>
      </c>
      <c r="J555" s="2" t="s">
        <v>420</v>
      </c>
      <c r="K555" s="2" t="s">
        <v>227</v>
      </c>
      <c r="L555" s="2" t="s">
        <v>290</v>
      </c>
      <c r="M555" s="2" t="s">
        <v>591</v>
      </c>
    </row>
    <row r="556" spans="1:13">
      <c r="A556" s="96" t="s">
        <v>901</v>
      </c>
      <c r="B556" s="2" t="s">
        <v>499</v>
      </c>
      <c r="C556" s="2" t="s">
        <v>480</v>
      </c>
      <c r="D556" s="2" t="s">
        <v>276</v>
      </c>
      <c r="E556" s="2" t="s">
        <v>208</v>
      </c>
      <c r="F556" s="2" t="s">
        <v>175</v>
      </c>
      <c r="G556" s="2" t="s">
        <v>218</v>
      </c>
      <c r="H556" s="2" t="s">
        <v>415</v>
      </c>
      <c r="I556" s="2" t="s">
        <v>419</v>
      </c>
      <c r="J556" s="2" t="s">
        <v>415</v>
      </c>
      <c r="K556" s="2" t="s">
        <v>216</v>
      </c>
      <c r="L556" s="2" t="s">
        <v>333</v>
      </c>
      <c r="M556" s="2" t="s">
        <v>666</v>
      </c>
    </row>
    <row r="557" spans="1:13">
      <c r="A557" s="96" t="s">
        <v>902</v>
      </c>
      <c r="B557" s="2" t="s">
        <v>576</v>
      </c>
      <c r="C557" s="2" t="s">
        <v>687</v>
      </c>
      <c r="D557" s="2" t="s">
        <v>285</v>
      </c>
      <c r="E557" s="2" t="s">
        <v>206</v>
      </c>
      <c r="F557" s="2" t="s">
        <v>261</v>
      </c>
      <c r="G557" s="2" t="s">
        <v>150</v>
      </c>
      <c r="H557" s="2" t="s">
        <v>390</v>
      </c>
      <c r="I557" s="2" t="s">
        <v>332</v>
      </c>
      <c r="J557" s="2" t="s">
        <v>390</v>
      </c>
      <c r="K557" s="2" t="s">
        <v>242</v>
      </c>
      <c r="L557" s="2" t="s">
        <v>424</v>
      </c>
      <c r="M557" s="2" t="s">
        <v>470</v>
      </c>
    </row>
    <row r="558" spans="1:13">
      <c r="A558" s="96" t="s">
        <v>903</v>
      </c>
      <c r="B558" s="2" t="s">
        <v>639</v>
      </c>
      <c r="C558" s="2" t="s">
        <v>545</v>
      </c>
      <c r="D558" s="2" t="s">
        <v>294</v>
      </c>
      <c r="E558" s="2" t="s">
        <v>218</v>
      </c>
      <c r="F558" s="2" t="s">
        <v>203</v>
      </c>
      <c r="G558" s="2" t="s">
        <v>245</v>
      </c>
      <c r="H558" s="2" t="s">
        <v>443</v>
      </c>
      <c r="I558" s="2" t="s">
        <v>436</v>
      </c>
      <c r="J558" s="2" t="s">
        <v>419</v>
      </c>
      <c r="K558" s="2" t="s">
        <v>255</v>
      </c>
      <c r="L558" s="2" t="s">
        <v>426</v>
      </c>
      <c r="M558" s="2" t="s">
        <v>481</v>
      </c>
    </row>
    <row r="559" spans="1:13">
      <c r="A559" s="96" t="s">
        <v>905</v>
      </c>
      <c r="B559" s="2" t="s">
        <v>638</v>
      </c>
      <c r="C559" s="2" t="s">
        <v>552</v>
      </c>
      <c r="D559" s="2" t="s">
        <v>276</v>
      </c>
      <c r="E559" s="2" t="s">
        <v>245</v>
      </c>
      <c r="F559" s="2" t="s">
        <v>204</v>
      </c>
      <c r="G559" s="2" t="s">
        <v>200</v>
      </c>
      <c r="H559" s="2" t="s">
        <v>390</v>
      </c>
      <c r="I559" s="2" t="s">
        <v>308</v>
      </c>
      <c r="J559" s="2" t="s">
        <v>390</v>
      </c>
      <c r="K559" s="2" t="s">
        <v>251</v>
      </c>
      <c r="L559" s="2" t="s">
        <v>398</v>
      </c>
      <c r="M559" s="2" t="s">
        <v>478</v>
      </c>
    </row>
    <row r="560" spans="1:13">
      <c r="A560" s="96" t="s">
        <v>906</v>
      </c>
      <c r="B560" s="2" t="s">
        <v>587</v>
      </c>
      <c r="C560" s="2" t="s">
        <v>479</v>
      </c>
      <c r="D560" s="2" t="s">
        <v>311</v>
      </c>
      <c r="E560" s="2" t="s">
        <v>218</v>
      </c>
      <c r="F560" s="2" t="s">
        <v>203</v>
      </c>
      <c r="G560" s="2" t="s">
        <v>166</v>
      </c>
      <c r="H560" s="2" t="s">
        <v>391</v>
      </c>
      <c r="I560" s="2" t="s">
        <v>423</v>
      </c>
      <c r="J560" s="2" t="s">
        <v>391</v>
      </c>
      <c r="K560" s="2" t="s">
        <v>151</v>
      </c>
      <c r="L560" s="2" t="s">
        <v>426</v>
      </c>
      <c r="M560" s="2" t="s">
        <v>478</v>
      </c>
    </row>
    <row r="561" spans="1:13">
      <c r="A561" s="96" t="s">
        <v>908</v>
      </c>
      <c r="B561" s="2" t="s">
        <v>636</v>
      </c>
      <c r="C561" s="2" t="s">
        <v>539</v>
      </c>
      <c r="D561" s="2" t="s">
        <v>306</v>
      </c>
      <c r="E561" s="2" t="s">
        <v>207</v>
      </c>
      <c r="F561" s="2" t="s">
        <v>133</v>
      </c>
      <c r="G561" s="2" t="s">
        <v>166</v>
      </c>
      <c r="H561" s="2" t="s">
        <v>443</v>
      </c>
      <c r="I561" s="2" t="s">
        <v>417</v>
      </c>
      <c r="J561" s="2" t="s">
        <v>443</v>
      </c>
      <c r="K561" s="2" t="s">
        <v>255</v>
      </c>
      <c r="L561" s="2" t="s">
        <v>290</v>
      </c>
      <c r="M561" s="2" t="s">
        <v>591</v>
      </c>
    </row>
    <row r="562" spans="1:13">
      <c r="A562" s="96" t="s">
        <v>909</v>
      </c>
      <c r="B562" s="2" t="s">
        <v>767</v>
      </c>
      <c r="C562" s="2" t="s">
        <v>687</v>
      </c>
      <c r="D562" s="2" t="s">
        <v>275</v>
      </c>
      <c r="E562" s="2" t="s">
        <v>212</v>
      </c>
      <c r="F562" s="2" t="s">
        <v>169</v>
      </c>
      <c r="G562" s="2" t="s">
        <v>207</v>
      </c>
      <c r="H562" s="2" t="s">
        <v>460</v>
      </c>
      <c r="I562" s="2" t="s">
        <v>431</v>
      </c>
      <c r="J562" s="2" t="s">
        <v>446</v>
      </c>
      <c r="K562" s="2" t="s">
        <v>151</v>
      </c>
      <c r="L562" s="2" t="s">
        <v>398</v>
      </c>
      <c r="M562" s="2" t="s">
        <v>567</v>
      </c>
    </row>
    <row r="563" spans="1:13">
      <c r="A563" s="96" t="s">
        <v>910</v>
      </c>
      <c r="B563" s="2" t="s">
        <v>732</v>
      </c>
      <c r="C563" s="2" t="s">
        <v>650</v>
      </c>
      <c r="D563" s="2" t="s">
        <v>329</v>
      </c>
      <c r="E563" s="2" t="s">
        <v>213</v>
      </c>
      <c r="F563" s="2" t="s">
        <v>112</v>
      </c>
      <c r="G563" s="2" t="s">
        <v>207</v>
      </c>
      <c r="H563" s="2" t="s">
        <v>460</v>
      </c>
      <c r="I563" s="2" t="s">
        <v>431</v>
      </c>
      <c r="J563" s="2" t="s">
        <v>446</v>
      </c>
      <c r="K563" s="2" t="s">
        <v>135</v>
      </c>
      <c r="L563" s="2" t="s">
        <v>426</v>
      </c>
      <c r="M563" s="2" t="s">
        <v>478</v>
      </c>
    </row>
    <row r="564" spans="1:13">
      <c r="A564" s="96" t="s">
        <v>911</v>
      </c>
      <c r="B564" s="2" t="s">
        <v>671</v>
      </c>
      <c r="C564" s="2" t="s">
        <v>532</v>
      </c>
      <c r="D564" s="2" t="s">
        <v>299</v>
      </c>
      <c r="E564" s="2" t="s">
        <v>245</v>
      </c>
      <c r="F564" s="2" t="s">
        <v>204</v>
      </c>
      <c r="G564" s="2" t="s">
        <v>200</v>
      </c>
      <c r="H564" s="2" t="s">
        <v>390</v>
      </c>
      <c r="I564" s="2" t="s">
        <v>308</v>
      </c>
      <c r="J564" s="2" t="s">
        <v>316</v>
      </c>
      <c r="K564" s="2" t="s">
        <v>247</v>
      </c>
      <c r="L564" s="2" t="s">
        <v>290</v>
      </c>
      <c r="M564" s="2" t="s">
        <v>591</v>
      </c>
    </row>
    <row r="565" spans="1:13">
      <c r="A565" s="96" t="s">
        <v>912</v>
      </c>
      <c r="B565" s="2" t="s">
        <v>582</v>
      </c>
      <c r="C565" s="2" t="s">
        <v>700</v>
      </c>
      <c r="D565" s="2" t="s">
        <v>284</v>
      </c>
      <c r="E565" s="2" t="s">
        <v>245</v>
      </c>
      <c r="F565" s="2" t="s">
        <v>261</v>
      </c>
      <c r="G565" s="2" t="s">
        <v>150</v>
      </c>
      <c r="H565" s="2" t="s">
        <v>419</v>
      </c>
      <c r="I565" s="2" t="s">
        <v>308</v>
      </c>
      <c r="J565" s="2" t="s">
        <v>390</v>
      </c>
      <c r="K565" s="2" t="s">
        <v>247</v>
      </c>
      <c r="L565" s="2" t="s">
        <v>290</v>
      </c>
      <c r="M565" s="2" t="s">
        <v>667</v>
      </c>
    </row>
    <row r="566" spans="1:13">
      <c r="A566" s="96" t="s">
        <v>913</v>
      </c>
      <c r="B566" s="2" t="s">
        <v>757</v>
      </c>
      <c r="C566" s="2" t="s">
        <v>528</v>
      </c>
      <c r="D566" s="2" t="s">
        <v>301</v>
      </c>
      <c r="E566" s="2" t="s">
        <v>248</v>
      </c>
      <c r="F566" s="2" t="s">
        <v>176</v>
      </c>
      <c r="G566" s="2" t="s">
        <v>218</v>
      </c>
      <c r="H566" s="2" t="s">
        <v>446</v>
      </c>
      <c r="I566" s="2" t="s">
        <v>431</v>
      </c>
      <c r="J566" s="2" t="s">
        <v>391</v>
      </c>
      <c r="K566" s="2" t="s">
        <v>151</v>
      </c>
      <c r="L566" s="2" t="s">
        <v>398</v>
      </c>
      <c r="M566" s="2" t="s">
        <v>478</v>
      </c>
    </row>
    <row r="567" spans="1:13">
      <c r="A567" s="96" t="s">
        <v>914</v>
      </c>
      <c r="B567" s="2" t="s">
        <v>549</v>
      </c>
      <c r="C567" s="2" t="s">
        <v>487</v>
      </c>
      <c r="D567" s="2" t="s">
        <v>322</v>
      </c>
      <c r="E567" s="2" t="s">
        <v>152</v>
      </c>
      <c r="F567" s="2" t="s">
        <v>141</v>
      </c>
      <c r="G567" s="2" t="s">
        <v>264</v>
      </c>
      <c r="H567" s="2" t="s">
        <v>436</v>
      </c>
      <c r="I567" s="2" t="s">
        <v>416</v>
      </c>
      <c r="J567" s="2" t="s">
        <v>308</v>
      </c>
      <c r="K567" s="2" t="s">
        <v>221</v>
      </c>
      <c r="L567" s="2" t="s">
        <v>337</v>
      </c>
      <c r="M567" s="2" t="s">
        <v>707</v>
      </c>
    </row>
    <row r="568" spans="1:13">
      <c r="A568" s="96" t="s">
        <v>915</v>
      </c>
      <c r="B568" s="2" t="s">
        <v>607</v>
      </c>
      <c r="C568" s="2" t="s">
        <v>593</v>
      </c>
      <c r="D568" s="2" t="s">
        <v>318</v>
      </c>
      <c r="E568" s="2" t="s">
        <v>152</v>
      </c>
      <c r="F568" s="2" t="s">
        <v>119</v>
      </c>
      <c r="G568" s="2" t="s">
        <v>223</v>
      </c>
      <c r="H568" s="2" t="s">
        <v>417</v>
      </c>
      <c r="I568" s="2" t="s">
        <v>404</v>
      </c>
      <c r="J568" s="2" t="s">
        <v>436</v>
      </c>
      <c r="K568" s="2" t="s">
        <v>257</v>
      </c>
      <c r="L568" s="2" t="s">
        <v>340</v>
      </c>
      <c r="M568" s="2" t="s">
        <v>544</v>
      </c>
    </row>
    <row r="569" spans="1:13">
      <c r="A569" s="96" t="s">
        <v>916</v>
      </c>
      <c r="B569" s="2" t="s">
        <v>673</v>
      </c>
      <c r="C569" s="2" t="s">
        <v>577</v>
      </c>
      <c r="D569" s="2" t="s">
        <v>334</v>
      </c>
      <c r="E569" s="2" t="s">
        <v>130</v>
      </c>
      <c r="F569" s="2" t="s">
        <v>173</v>
      </c>
      <c r="G569" s="2" t="s">
        <v>196</v>
      </c>
      <c r="H569" s="2" t="s">
        <v>308</v>
      </c>
      <c r="I569" s="2" t="s">
        <v>339</v>
      </c>
      <c r="J569" s="2" t="s">
        <v>461</v>
      </c>
      <c r="K569" s="2" t="s">
        <v>198</v>
      </c>
      <c r="L569" s="2" t="s">
        <v>424</v>
      </c>
      <c r="M569" s="2" t="s">
        <v>551</v>
      </c>
    </row>
    <row r="570" spans="1:13">
      <c r="A570" s="96" t="s">
        <v>917</v>
      </c>
      <c r="B570" s="2" t="s">
        <v>622</v>
      </c>
      <c r="C570" s="2" t="s">
        <v>642</v>
      </c>
      <c r="D570" s="2" t="s">
        <v>346</v>
      </c>
      <c r="E570" s="2" t="s">
        <v>196</v>
      </c>
      <c r="F570" s="2" t="s">
        <v>131</v>
      </c>
      <c r="G570" s="2" t="s">
        <v>213</v>
      </c>
      <c r="H570" s="2" t="s">
        <v>332</v>
      </c>
      <c r="I570" s="2" t="s">
        <v>389</v>
      </c>
      <c r="J570" s="2" t="s">
        <v>343</v>
      </c>
      <c r="K570" s="2" t="s">
        <v>220</v>
      </c>
      <c r="L570" s="2" t="s">
        <v>333</v>
      </c>
      <c r="M570" s="2" t="s">
        <v>567</v>
      </c>
    </row>
    <row r="571" spans="1:13">
      <c r="A571" s="96" t="s">
        <v>918</v>
      </c>
      <c r="B571" s="2" t="s">
        <v>469</v>
      </c>
      <c r="C571" s="2" t="s">
        <v>508</v>
      </c>
      <c r="D571" s="2" t="s">
        <v>342</v>
      </c>
      <c r="E571" s="2" t="s">
        <v>218</v>
      </c>
      <c r="F571" s="2" t="s">
        <v>133</v>
      </c>
      <c r="G571" s="2" t="s">
        <v>206</v>
      </c>
      <c r="H571" s="2" t="s">
        <v>446</v>
      </c>
      <c r="I571" s="2" t="s">
        <v>417</v>
      </c>
      <c r="J571" s="2" t="s">
        <v>443</v>
      </c>
      <c r="K571" s="2" t="s">
        <v>255</v>
      </c>
      <c r="L571" s="2" t="s">
        <v>349</v>
      </c>
      <c r="M571" s="2" t="s">
        <v>487</v>
      </c>
    </row>
    <row r="572" spans="1:13">
      <c r="A572" s="96" t="s">
        <v>919</v>
      </c>
      <c r="B572" s="2" t="s">
        <v>613</v>
      </c>
      <c r="C572" s="2" t="s">
        <v>588</v>
      </c>
      <c r="D572" s="2" t="s">
        <v>300</v>
      </c>
      <c r="E572" s="2" t="s">
        <v>264</v>
      </c>
      <c r="F572" s="2" t="s">
        <v>173</v>
      </c>
      <c r="G572" s="2" t="s">
        <v>196</v>
      </c>
      <c r="H572" s="2" t="s">
        <v>461</v>
      </c>
      <c r="I572" s="2" t="s">
        <v>389</v>
      </c>
      <c r="J572" s="2" t="s">
        <v>402</v>
      </c>
      <c r="K572" s="2" t="s">
        <v>197</v>
      </c>
      <c r="L572" s="2" t="s">
        <v>396</v>
      </c>
      <c r="M572" s="2" t="s">
        <v>666</v>
      </c>
    </row>
    <row r="573" spans="1:13">
      <c r="A573" s="96" t="s">
        <v>920</v>
      </c>
      <c r="B573" s="2" t="s">
        <v>603</v>
      </c>
      <c r="C573" s="2" t="s">
        <v>501</v>
      </c>
      <c r="D573" s="2" t="s">
        <v>345</v>
      </c>
      <c r="E573" s="2" t="s">
        <v>213</v>
      </c>
      <c r="F573" s="2" t="s">
        <v>144</v>
      </c>
      <c r="G573" s="2" t="s">
        <v>212</v>
      </c>
      <c r="H573" s="2" t="s">
        <v>343</v>
      </c>
      <c r="I573" s="2" t="s">
        <v>336</v>
      </c>
      <c r="J573" s="2" t="s">
        <v>402</v>
      </c>
      <c r="K573" s="2" t="s">
        <v>220</v>
      </c>
      <c r="L573" s="2" t="s">
        <v>333</v>
      </c>
      <c r="M573" s="2" t="s">
        <v>567</v>
      </c>
    </row>
    <row r="574" spans="1:13">
      <c r="A574" s="96" t="s">
        <v>921</v>
      </c>
      <c r="B574" s="2" t="s">
        <v>659</v>
      </c>
      <c r="C574" s="2" t="s">
        <v>700</v>
      </c>
      <c r="D574" s="2" t="s">
        <v>284</v>
      </c>
      <c r="E574" s="2" t="s">
        <v>245</v>
      </c>
      <c r="F574" s="2" t="s">
        <v>243</v>
      </c>
      <c r="G574" s="2" t="s">
        <v>245</v>
      </c>
      <c r="H574" s="2" t="s">
        <v>443</v>
      </c>
      <c r="I574" s="2" t="s">
        <v>436</v>
      </c>
      <c r="J574" s="2" t="s">
        <v>419</v>
      </c>
      <c r="K574" s="2" t="s">
        <v>255</v>
      </c>
      <c r="L574" s="2" t="s">
        <v>347</v>
      </c>
      <c r="M574" s="2" t="s">
        <v>667</v>
      </c>
    </row>
    <row r="575" spans="1:13">
      <c r="A575" s="96" t="s">
        <v>922</v>
      </c>
      <c r="B575" s="2" t="s">
        <v>680</v>
      </c>
      <c r="C575" s="2" t="s">
        <v>495</v>
      </c>
      <c r="D575" s="2" t="s">
        <v>328</v>
      </c>
      <c r="E575" s="2" t="s">
        <v>150</v>
      </c>
      <c r="F575" s="2" t="s">
        <v>204</v>
      </c>
      <c r="G575" s="2" t="s">
        <v>200</v>
      </c>
      <c r="H575" s="2" t="s">
        <v>390</v>
      </c>
      <c r="I575" s="2" t="s">
        <v>332</v>
      </c>
      <c r="J575" s="2" t="s">
        <v>316</v>
      </c>
      <c r="K575" s="2" t="s">
        <v>242</v>
      </c>
      <c r="L575" s="2" t="s">
        <v>366</v>
      </c>
      <c r="M575" s="2" t="s">
        <v>493</v>
      </c>
    </row>
    <row r="576" spans="1:13">
      <c r="A576" s="96" t="s">
        <v>923</v>
      </c>
      <c r="B576" s="2" t="s">
        <v>634</v>
      </c>
      <c r="C576" s="2" t="s">
        <v>545</v>
      </c>
      <c r="D576" s="2" t="s">
        <v>302</v>
      </c>
      <c r="E576" s="2" t="s">
        <v>148</v>
      </c>
      <c r="F576" s="2" t="s">
        <v>175</v>
      </c>
      <c r="G576" s="2" t="s">
        <v>148</v>
      </c>
      <c r="H576" s="2" t="s">
        <v>418</v>
      </c>
      <c r="I576" s="2" t="s">
        <v>343</v>
      </c>
      <c r="J576" s="2" t="s">
        <v>320</v>
      </c>
      <c r="K576" s="2" t="s">
        <v>256</v>
      </c>
      <c r="L576" s="2" t="s">
        <v>317</v>
      </c>
      <c r="M576" s="2" t="s">
        <v>577</v>
      </c>
    </row>
    <row r="577" spans="1:13">
      <c r="A577" s="96" t="s">
        <v>924</v>
      </c>
      <c r="B577" s="2" t="s">
        <v>576</v>
      </c>
      <c r="C577" s="2" t="s">
        <v>646</v>
      </c>
      <c r="D577" s="2" t="s">
        <v>338</v>
      </c>
      <c r="E577" s="2" t="s">
        <v>148</v>
      </c>
      <c r="F577" s="2" t="s">
        <v>175</v>
      </c>
      <c r="G577" s="2" t="s">
        <v>148</v>
      </c>
      <c r="H577" s="2" t="s">
        <v>418</v>
      </c>
      <c r="I577" s="2" t="s">
        <v>461</v>
      </c>
      <c r="J577" s="2" t="s">
        <v>320</v>
      </c>
      <c r="K577" s="2" t="s">
        <v>215</v>
      </c>
      <c r="L577" s="2" t="s">
        <v>317</v>
      </c>
      <c r="M577" s="2" t="s">
        <v>657</v>
      </c>
    </row>
    <row r="578" spans="1:13">
      <c r="A578" s="96" t="s">
        <v>925</v>
      </c>
      <c r="B578" s="2" t="s">
        <v>732</v>
      </c>
      <c r="C578" s="2" t="s">
        <v>539</v>
      </c>
      <c r="D578" s="2" t="s">
        <v>302</v>
      </c>
      <c r="E578" s="2" t="s">
        <v>150</v>
      </c>
      <c r="F578" s="2" t="s">
        <v>261</v>
      </c>
      <c r="G578" s="2" t="s">
        <v>150</v>
      </c>
      <c r="H578" s="2" t="s">
        <v>419</v>
      </c>
      <c r="I578" s="2" t="s">
        <v>308</v>
      </c>
      <c r="J578" s="2" t="s">
        <v>390</v>
      </c>
      <c r="K578" s="2" t="s">
        <v>247</v>
      </c>
      <c r="L578" s="2" t="s">
        <v>366</v>
      </c>
      <c r="M578" s="2" t="s">
        <v>493</v>
      </c>
    </row>
    <row r="579" spans="1:13">
      <c r="A579" s="96" t="s">
        <v>926</v>
      </c>
      <c r="B579" s="2" t="s">
        <v>582</v>
      </c>
      <c r="C579" s="2" t="s">
        <v>538</v>
      </c>
      <c r="D579" s="2" t="s">
        <v>328</v>
      </c>
      <c r="E579" s="2" t="s">
        <v>166</v>
      </c>
      <c r="F579" s="2" t="s">
        <v>243</v>
      </c>
      <c r="G579" s="2" t="s">
        <v>245</v>
      </c>
      <c r="H579" s="2" t="s">
        <v>443</v>
      </c>
      <c r="I579" s="2" t="s">
        <v>417</v>
      </c>
      <c r="J579" s="2" t="s">
        <v>419</v>
      </c>
      <c r="K579" s="2" t="s">
        <v>255</v>
      </c>
      <c r="L579" s="2" t="s">
        <v>399</v>
      </c>
      <c r="M579" s="2" t="s">
        <v>487</v>
      </c>
    </row>
    <row r="580" spans="1:13">
      <c r="A580" s="76" t="s">
        <v>93</v>
      </c>
      <c r="B580" s="2" t="s">
        <v>279</v>
      </c>
      <c r="C580" s="2" t="s">
        <v>278</v>
      </c>
      <c r="D580" s="2" t="s">
        <v>154</v>
      </c>
      <c r="E580" s="2" t="s">
        <v>817</v>
      </c>
      <c r="F580" s="2" t="s">
        <v>818</v>
      </c>
      <c r="G580" s="2" t="s">
        <v>819</v>
      </c>
      <c r="H580" s="2" t="s">
        <v>820</v>
      </c>
      <c r="I580" s="2" t="s">
        <v>814</v>
      </c>
      <c r="J580" s="2" t="s">
        <v>821</v>
      </c>
      <c r="K580" s="2" t="s">
        <v>822</v>
      </c>
      <c r="L580" s="2" t="s">
        <v>103</v>
      </c>
      <c r="M580" s="2" t="s">
        <v>265</v>
      </c>
    </row>
    <row r="581" spans="1:13">
      <c r="A581" s="96" t="s">
        <v>824</v>
      </c>
      <c r="B581" s="2" t="s">
        <v>132</v>
      </c>
      <c r="C581" s="2" t="s">
        <v>138</v>
      </c>
      <c r="D581" s="2" t="s">
        <v>932</v>
      </c>
      <c r="E581" s="2" t="s">
        <v>976</v>
      </c>
      <c r="F581" s="2" t="s">
        <v>981</v>
      </c>
      <c r="G581" s="2" t="s">
        <v>983</v>
      </c>
      <c r="H581" s="2" t="s">
        <v>991</v>
      </c>
      <c r="I581" s="2" t="s">
        <v>985</v>
      </c>
      <c r="J581" s="2" t="s">
        <v>973</v>
      </c>
      <c r="K581" s="2" t="s">
        <v>976</v>
      </c>
      <c r="L581" s="2" t="s">
        <v>139</v>
      </c>
      <c r="M581" s="2" t="s">
        <v>193</v>
      </c>
    </row>
    <row r="582" spans="1:13">
      <c r="A582" s="96" t="s">
        <v>826</v>
      </c>
      <c r="B582" s="2" t="s">
        <v>277</v>
      </c>
      <c r="C582" s="2" t="s">
        <v>153</v>
      </c>
      <c r="D582" s="2" t="s">
        <v>154</v>
      </c>
      <c r="E582" s="2" t="s">
        <v>962</v>
      </c>
      <c r="F582" s="2" t="s">
        <v>992</v>
      </c>
      <c r="G582" s="2" t="s">
        <v>993</v>
      </c>
      <c r="H582" s="2" t="s">
        <v>981</v>
      </c>
      <c r="I582" s="2" t="s">
        <v>991</v>
      </c>
      <c r="J582" s="2" t="s">
        <v>814</v>
      </c>
      <c r="K582" s="2" t="s">
        <v>994</v>
      </c>
      <c r="L582" s="2" t="s">
        <v>281</v>
      </c>
      <c r="M582" s="2" t="s">
        <v>175</v>
      </c>
    </row>
    <row r="583" spans="1:13">
      <c r="A583" s="96" t="s">
        <v>828</v>
      </c>
      <c r="B583" s="2" t="s">
        <v>286</v>
      </c>
      <c r="C583" s="2" t="s">
        <v>279</v>
      </c>
      <c r="D583" s="2" t="s">
        <v>155</v>
      </c>
      <c r="E583" s="2" t="s">
        <v>963</v>
      </c>
      <c r="F583" s="2" t="s">
        <v>993</v>
      </c>
      <c r="G583" s="2" t="s">
        <v>993</v>
      </c>
      <c r="H583" s="2" t="s">
        <v>981</v>
      </c>
      <c r="I583" s="2" t="s">
        <v>814</v>
      </c>
      <c r="J583" s="2" t="s">
        <v>991</v>
      </c>
      <c r="K583" s="2" t="s">
        <v>967</v>
      </c>
      <c r="L583" s="2" t="s">
        <v>281</v>
      </c>
      <c r="M583" s="2" t="s">
        <v>175</v>
      </c>
    </row>
    <row r="584" spans="1:13">
      <c r="A584" s="96" t="s">
        <v>830</v>
      </c>
      <c r="B584" s="2" t="s">
        <v>286</v>
      </c>
      <c r="C584" s="2" t="s">
        <v>159</v>
      </c>
      <c r="D584" s="2" t="s">
        <v>155</v>
      </c>
      <c r="E584" s="2" t="s">
        <v>970</v>
      </c>
      <c r="F584" s="2" t="s">
        <v>995</v>
      </c>
      <c r="G584" s="2" t="s">
        <v>992</v>
      </c>
      <c r="H584" s="2" t="s">
        <v>981</v>
      </c>
      <c r="I584" s="2" t="s">
        <v>991</v>
      </c>
      <c r="J584" s="2" t="s">
        <v>991</v>
      </c>
      <c r="K584" s="2" t="s">
        <v>994</v>
      </c>
      <c r="L584" s="2" t="s">
        <v>270</v>
      </c>
      <c r="M584" s="2" t="s">
        <v>265</v>
      </c>
    </row>
    <row r="585" spans="1:13">
      <c r="A585" s="96" t="s">
        <v>834</v>
      </c>
      <c r="B585" s="2" t="s">
        <v>153</v>
      </c>
      <c r="C585" s="2" t="s">
        <v>105</v>
      </c>
      <c r="D585" s="2" t="s">
        <v>158</v>
      </c>
      <c r="E585" s="2" t="s">
        <v>994</v>
      </c>
      <c r="F585" s="2" t="s">
        <v>815</v>
      </c>
      <c r="G585" s="2" t="s">
        <v>815</v>
      </c>
      <c r="H585" s="2" t="s">
        <v>972</v>
      </c>
      <c r="I585" s="2" t="s">
        <v>985</v>
      </c>
      <c r="J585" s="2" t="s">
        <v>971</v>
      </c>
      <c r="K585" s="2" t="s">
        <v>978</v>
      </c>
      <c r="L585" s="2" t="s">
        <v>115</v>
      </c>
      <c r="M585" s="2" t="s">
        <v>136</v>
      </c>
    </row>
    <row r="586" spans="1:13">
      <c r="A586" s="96" t="s">
        <v>836</v>
      </c>
      <c r="B586" s="2" t="s">
        <v>282</v>
      </c>
      <c r="C586" s="2" t="s">
        <v>146</v>
      </c>
      <c r="D586" s="2" t="s">
        <v>944</v>
      </c>
      <c r="E586" s="2" t="s">
        <v>992</v>
      </c>
      <c r="F586" s="2" t="s">
        <v>962</v>
      </c>
      <c r="G586" s="2" t="s">
        <v>963</v>
      </c>
      <c r="H586" s="2" t="s">
        <v>970</v>
      </c>
      <c r="I586" s="2" t="s">
        <v>818</v>
      </c>
      <c r="J586" s="2" t="s">
        <v>980</v>
      </c>
      <c r="K586" s="2" t="s">
        <v>978</v>
      </c>
      <c r="L586" s="2" t="s">
        <v>286</v>
      </c>
      <c r="M586" s="2" t="s">
        <v>173</v>
      </c>
    </row>
    <row r="587" spans="1:13">
      <c r="A587" s="96" t="s">
        <v>839</v>
      </c>
      <c r="B587" s="2" t="s">
        <v>286</v>
      </c>
      <c r="C587" s="2" t="s">
        <v>286</v>
      </c>
      <c r="D587" s="2" t="s">
        <v>113</v>
      </c>
      <c r="E587" s="2" t="s">
        <v>970</v>
      </c>
      <c r="F587" s="2" t="s">
        <v>995</v>
      </c>
      <c r="G587" s="2" t="s">
        <v>995</v>
      </c>
      <c r="H587" s="2" t="s">
        <v>981</v>
      </c>
      <c r="I587" s="2" t="s">
        <v>818</v>
      </c>
      <c r="J587" s="2" t="s">
        <v>818</v>
      </c>
      <c r="K587" s="2" t="s">
        <v>803</v>
      </c>
      <c r="L587" s="2" t="s">
        <v>117</v>
      </c>
      <c r="M587" s="2" t="s">
        <v>175</v>
      </c>
    </row>
    <row r="588" spans="1:13">
      <c r="A588" s="96" t="s">
        <v>841</v>
      </c>
      <c r="B588" s="2" t="s">
        <v>310</v>
      </c>
      <c r="C588" s="2" t="s">
        <v>277</v>
      </c>
      <c r="D588" s="2" t="s">
        <v>164</v>
      </c>
      <c r="E588" s="2" t="s">
        <v>967</v>
      </c>
      <c r="F588" s="2" t="s">
        <v>993</v>
      </c>
      <c r="G588" s="2" t="s">
        <v>997</v>
      </c>
      <c r="H588" s="2" t="s">
        <v>972</v>
      </c>
      <c r="I588" s="2" t="s">
        <v>821</v>
      </c>
      <c r="J588" s="2" t="s">
        <v>821</v>
      </c>
      <c r="K588" s="2" t="s">
        <v>963</v>
      </c>
      <c r="L588" s="2" t="s">
        <v>115</v>
      </c>
      <c r="M588" s="2" t="s">
        <v>175</v>
      </c>
    </row>
    <row r="589" spans="1:13">
      <c r="A589" s="96" t="s">
        <v>842</v>
      </c>
      <c r="B589" s="2" t="s">
        <v>153</v>
      </c>
      <c r="C589" s="2" t="s">
        <v>153</v>
      </c>
      <c r="D589" s="2" t="s">
        <v>154</v>
      </c>
      <c r="E589" s="2" t="s">
        <v>817</v>
      </c>
      <c r="F589" s="2" t="s">
        <v>988</v>
      </c>
      <c r="G589" s="2" t="s">
        <v>988</v>
      </c>
      <c r="H589" s="2" t="s">
        <v>972</v>
      </c>
      <c r="I589" s="2" t="s">
        <v>980</v>
      </c>
      <c r="J589" s="2" t="s">
        <v>821</v>
      </c>
      <c r="K589" s="2" t="s">
        <v>963</v>
      </c>
      <c r="L589" s="2" t="s">
        <v>115</v>
      </c>
      <c r="M589" s="2" t="s">
        <v>226</v>
      </c>
    </row>
    <row r="590" spans="1:13">
      <c r="A590" s="96" t="s">
        <v>844</v>
      </c>
      <c r="B590" s="2" t="s">
        <v>278</v>
      </c>
      <c r="C590" s="2" t="s">
        <v>278</v>
      </c>
      <c r="D590" s="2" t="s">
        <v>164</v>
      </c>
      <c r="E590" s="2" t="s">
        <v>967</v>
      </c>
      <c r="F590" s="2" t="s">
        <v>997</v>
      </c>
      <c r="G590" s="2" t="s">
        <v>815</v>
      </c>
      <c r="H590" s="2" t="s">
        <v>991</v>
      </c>
      <c r="I590" s="2" t="s">
        <v>819</v>
      </c>
      <c r="J590" s="2" t="s">
        <v>980</v>
      </c>
      <c r="K590" s="2" t="s">
        <v>822</v>
      </c>
      <c r="L590" s="2" t="s">
        <v>117</v>
      </c>
      <c r="M590" s="2" t="s">
        <v>118</v>
      </c>
    </row>
    <row r="591" spans="1:13">
      <c r="A591" s="96" t="s">
        <v>847</v>
      </c>
      <c r="B591" s="2" t="s">
        <v>272</v>
      </c>
      <c r="C591" s="2" t="s">
        <v>272</v>
      </c>
      <c r="D591" s="2" t="s">
        <v>155</v>
      </c>
      <c r="E591" s="2" t="s">
        <v>963</v>
      </c>
      <c r="F591" s="2" t="s">
        <v>976</v>
      </c>
      <c r="G591" s="2" t="s">
        <v>993</v>
      </c>
      <c r="H591" s="2" t="s">
        <v>819</v>
      </c>
      <c r="I591" s="2" t="s">
        <v>981</v>
      </c>
      <c r="J591" s="2" t="s">
        <v>981</v>
      </c>
      <c r="K591" s="2" t="s">
        <v>970</v>
      </c>
      <c r="L591" s="2" t="s">
        <v>271</v>
      </c>
      <c r="M591" s="2" t="s">
        <v>261</v>
      </c>
    </row>
    <row r="592" spans="1:13">
      <c r="A592" s="96" t="s">
        <v>851</v>
      </c>
      <c r="B592" s="2" t="s">
        <v>159</v>
      </c>
      <c r="C592" s="2" t="s">
        <v>159</v>
      </c>
      <c r="D592" s="2" t="s">
        <v>164</v>
      </c>
      <c r="E592" s="2" t="s">
        <v>962</v>
      </c>
      <c r="F592" s="2" t="s">
        <v>992</v>
      </c>
      <c r="G592" s="2" t="s">
        <v>988</v>
      </c>
      <c r="H592" s="2" t="s">
        <v>972</v>
      </c>
      <c r="I592" s="2" t="s">
        <v>819</v>
      </c>
      <c r="J592" s="2" t="s">
        <v>981</v>
      </c>
      <c r="K592" s="2" t="s">
        <v>970</v>
      </c>
      <c r="L592" s="2" t="s">
        <v>271</v>
      </c>
      <c r="M592" s="2" t="s">
        <v>243</v>
      </c>
    </row>
    <row r="593" spans="1:13">
      <c r="A593" s="96" t="s">
        <v>852</v>
      </c>
      <c r="B593" s="2" t="s">
        <v>271</v>
      </c>
      <c r="C593" s="2" t="s">
        <v>117</v>
      </c>
      <c r="D593" s="2" t="s">
        <v>163</v>
      </c>
      <c r="E593" s="2" t="s">
        <v>961</v>
      </c>
      <c r="F593" s="2" t="s">
        <v>817</v>
      </c>
      <c r="G593" s="2" t="s">
        <v>995</v>
      </c>
      <c r="H593" s="2" t="s">
        <v>821</v>
      </c>
      <c r="I593" s="2" t="s">
        <v>981</v>
      </c>
      <c r="J593" s="2" t="s">
        <v>815</v>
      </c>
      <c r="K593" s="2" t="s">
        <v>961</v>
      </c>
      <c r="L593" s="2" t="s">
        <v>280</v>
      </c>
      <c r="M593" s="2" t="s">
        <v>261</v>
      </c>
    </row>
    <row r="594" spans="1:13">
      <c r="A594" s="96" t="s">
        <v>854</v>
      </c>
      <c r="B594" s="2" t="s">
        <v>270</v>
      </c>
      <c r="C594" s="2" t="s">
        <v>117</v>
      </c>
      <c r="D594" s="2" t="s">
        <v>162</v>
      </c>
      <c r="E594" s="2" t="s">
        <v>965</v>
      </c>
      <c r="F594" s="2" t="s">
        <v>996</v>
      </c>
      <c r="G594" s="2" t="s">
        <v>995</v>
      </c>
      <c r="H594" s="2" t="s">
        <v>821</v>
      </c>
      <c r="I594" s="2" t="s">
        <v>981</v>
      </c>
      <c r="J594" s="2" t="s">
        <v>815</v>
      </c>
      <c r="K594" s="2" t="s">
        <v>961</v>
      </c>
      <c r="L594" s="2" t="s">
        <v>271</v>
      </c>
      <c r="M594" s="2" t="s">
        <v>261</v>
      </c>
    </row>
    <row r="595" spans="1:13">
      <c r="A595" s="96" t="s">
        <v>856</v>
      </c>
      <c r="B595" s="2" t="s">
        <v>127</v>
      </c>
      <c r="C595" s="2" t="s">
        <v>282</v>
      </c>
      <c r="D595" s="2" t="s">
        <v>156</v>
      </c>
      <c r="E595" s="2" t="s">
        <v>949</v>
      </c>
      <c r="F595" s="2" t="s">
        <v>963</v>
      </c>
      <c r="G595" s="2" t="s">
        <v>817</v>
      </c>
      <c r="H595" s="2" t="s">
        <v>815</v>
      </c>
      <c r="I595" s="2" t="s">
        <v>997</v>
      </c>
      <c r="J595" s="2" t="s">
        <v>992</v>
      </c>
      <c r="K595" s="2" t="s">
        <v>958</v>
      </c>
      <c r="L595" s="2" t="s">
        <v>157</v>
      </c>
      <c r="M595" s="2" t="s">
        <v>169</v>
      </c>
    </row>
    <row r="596" spans="1:13">
      <c r="A596" s="96" t="s">
        <v>858</v>
      </c>
      <c r="B596" s="2" t="s">
        <v>205</v>
      </c>
      <c r="C596" s="2" t="s">
        <v>106</v>
      </c>
      <c r="D596" s="2" t="s">
        <v>289</v>
      </c>
      <c r="E596" s="2" t="s">
        <v>950</v>
      </c>
      <c r="F596" s="2" t="s">
        <v>966</v>
      </c>
      <c r="G596" s="2" t="s">
        <v>970</v>
      </c>
      <c r="H596" s="2" t="s">
        <v>978</v>
      </c>
      <c r="I596" s="2" t="s">
        <v>994</v>
      </c>
      <c r="J596" s="2" t="s">
        <v>817</v>
      </c>
      <c r="K596" s="2" t="s">
        <v>952</v>
      </c>
      <c r="L596" s="2" t="s">
        <v>108</v>
      </c>
      <c r="M596" s="2" t="s">
        <v>133</v>
      </c>
    </row>
    <row r="597" spans="1:13">
      <c r="A597" s="96" t="s">
        <v>861</v>
      </c>
      <c r="B597" s="2" t="s">
        <v>142</v>
      </c>
      <c r="C597" s="2" t="s">
        <v>140</v>
      </c>
      <c r="D597" s="2" t="s">
        <v>272</v>
      </c>
      <c r="E597" s="2" t="s">
        <v>960</v>
      </c>
      <c r="F597" s="2" t="s">
        <v>964</v>
      </c>
      <c r="G597" s="2" t="s">
        <v>961</v>
      </c>
      <c r="H597" s="2" t="s">
        <v>994</v>
      </c>
      <c r="I597" s="2" t="s">
        <v>962</v>
      </c>
      <c r="J597" s="2" t="s">
        <v>970</v>
      </c>
      <c r="K597" s="2" t="s">
        <v>954</v>
      </c>
      <c r="L597" s="2" t="s">
        <v>282</v>
      </c>
      <c r="M597" s="2" t="s">
        <v>112</v>
      </c>
    </row>
    <row r="598" spans="1:13">
      <c r="A598" s="96" t="s">
        <v>865</v>
      </c>
      <c r="B598" s="2" t="s">
        <v>205</v>
      </c>
      <c r="C598" s="2" t="s">
        <v>123</v>
      </c>
      <c r="D598" s="2" t="s">
        <v>279</v>
      </c>
      <c r="E598" s="2" t="s">
        <v>957</v>
      </c>
      <c r="F598" s="2" t="s">
        <v>959</v>
      </c>
      <c r="G598" s="2" t="s">
        <v>970</v>
      </c>
      <c r="H598" s="2" t="s">
        <v>978</v>
      </c>
      <c r="I598" s="2" t="s">
        <v>967</v>
      </c>
      <c r="J598" s="2" t="s">
        <v>962</v>
      </c>
      <c r="K598" s="2" t="s">
        <v>804</v>
      </c>
      <c r="L598" s="2" t="s">
        <v>108</v>
      </c>
      <c r="M598" s="2" t="s">
        <v>203</v>
      </c>
    </row>
    <row r="599" spans="1:13">
      <c r="A599" s="96" t="s">
        <v>866</v>
      </c>
      <c r="B599" s="2" t="s">
        <v>136</v>
      </c>
      <c r="C599" s="2" t="s">
        <v>142</v>
      </c>
      <c r="D599" s="2" t="s">
        <v>115</v>
      </c>
      <c r="E599" s="2" t="s">
        <v>942</v>
      </c>
      <c r="F599" s="2" t="s">
        <v>969</v>
      </c>
      <c r="G599" s="2" t="s">
        <v>998</v>
      </c>
      <c r="H599" s="2" t="s">
        <v>994</v>
      </c>
      <c r="I599" s="2" t="s">
        <v>822</v>
      </c>
      <c r="J599" s="2" t="s">
        <v>970</v>
      </c>
      <c r="K599" s="2" t="s">
        <v>957</v>
      </c>
      <c r="L599" s="2" t="s">
        <v>157</v>
      </c>
      <c r="M599" s="2" t="s">
        <v>203</v>
      </c>
    </row>
    <row r="600" spans="1:13">
      <c r="A600" s="96" t="s">
        <v>868</v>
      </c>
      <c r="B600" s="2" t="s">
        <v>127</v>
      </c>
      <c r="C600" s="2" t="s">
        <v>157</v>
      </c>
      <c r="D600" s="2" t="s">
        <v>156</v>
      </c>
      <c r="E600" s="2" t="s">
        <v>949</v>
      </c>
      <c r="F600" s="2" t="s">
        <v>974</v>
      </c>
      <c r="G600" s="2" t="s">
        <v>978</v>
      </c>
      <c r="H600" s="2" t="s">
        <v>995</v>
      </c>
      <c r="I600" s="2" t="s">
        <v>978</v>
      </c>
      <c r="J600" s="2" t="s">
        <v>978</v>
      </c>
      <c r="K600" s="2" t="s">
        <v>958</v>
      </c>
      <c r="L600" s="2" t="s">
        <v>270</v>
      </c>
      <c r="M600" s="2" t="s">
        <v>118</v>
      </c>
    </row>
    <row r="601" spans="1:13">
      <c r="A601" s="96" t="s">
        <v>871</v>
      </c>
      <c r="B601" s="2" t="s">
        <v>108</v>
      </c>
      <c r="C601" s="2" t="s">
        <v>270</v>
      </c>
      <c r="D601" s="2" t="s">
        <v>129</v>
      </c>
      <c r="E601" s="2" t="s">
        <v>968</v>
      </c>
      <c r="F601" s="2" t="s">
        <v>803</v>
      </c>
      <c r="G601" s="2" t="s">
        <v>995</v>
      </c>
      <c r="H601" s="2" t="s">
        <v>992</v>
      </c>
      <c r="I601" s="2" t="s">
        <v>978</v>
      </c>
      <c r="J601" s="2" t="s">
        <v>976</v>
      </c>
      <c r="K601" s="2" t="s">
        <v>968</v>
      </c>
      <c r="L601" s="2" t="s">
        <v>270</v>
      </c>
      <c r="M601" s="2" t="s">
        <v>118</v>
      </c>
    </row>
    <row r="602" spans="1:13">
      <c r="A602" s="96" t="s">
        <v>872</v>
      </c>
      <c r="B602" s="2" t="s">
        <v>117</v>
      </c>
      <c r="C602" s="2" t="s">
        <v>272</v>
      </c>
      <c r="D602" s="2" t="s">
        <v>113</v>
      </c>
      <c r="E602" s="2" t="s">
        <v>965</v>
      </c>
      <c r="F602" s="2" t="s">
        <v>967</v>
      </c>
      <c r="G602" s="2" t="s">
        <v>815</v>
      </c>
      <c r="H602" s="2" t="s">
        <v>815</v>
      </c>
      <c r="I602" s="2" t="s">
        <v>997</v>
      </c>
      <c r="J602" s="2" t="s">
        <v>978</v>
      </c>
      <c r="K602" s="2" t="s">
        <v>965</v>
      </c>
      <c r="L602" s="2" t="s">
        <v>139</v>
      </c>
      <c r="M602" s="2" t="s">
        <v>265</v>
      </c>
    </row>
    <row r="603" spans="1:13">
      <c r="A603" s="96" t="s">
        <v>874</v>
      </c>
      <c r="B603" s="2" t="s">
        <v>139</v>
      </c>
      <c r="C603" s="2" t="s">
        <v>159</v>
      </c>
      <c r="D603" s="2" t="s">
        <v>128</v>
      </c>
      <c r="E603" s="2" t="s">
        <v>961</v>
      </c>
      <c r="F603" s="2" t="s">
        <v>817</v>
      </c>
      <c r="G603" s="2" t="s">
        <v>983</v>
      </c>
      <c r="H603" s="2" t="s">
        <v>983</v>
      </c>
      <c r="I603" s="2" t="s">
        <v>815</v>
      </c>
      <c r="J603" s="2" t="s">
        <v>995</v>
      </c>
      <c r="K603" s="2" t="s">
        <v>998</v>
      </c>
      <c r="L603" s="2" t="s">
        <v>139</v>
      </c>
      <c r="M603" s="2" t="s">
        <v>193</v>
      </c>
    </row>
    <row r="604" spans="1:13">
      <c r="A604" s="96" t="s">
        <v>876</v>
      </c>
      <c r="B604" s="2" t="s">
        <v>279</v>
      </c>
      <c r="C604" s="2" t="s">
        <v>310</v>
      </c>
      <c r="D604" s="2" t="s">
        <v>164</v>
      </c>
      <c r="E604" s="2" t="s">
        <v>803</v>
      </c>
      <c r="F604" s="2" t="s">
        <v>995</v>
      </c>
      <c r="G604" s="2" t="s">
        <v>981</v>
      </c>
      <c r="H604" s="2" t="s">
        <v>821</v>
      </c>
      <c r="I604" s="2" t="s">
        <v>818</v>
      </c>
      <c r="J604" s="2" t="s">
        <v>993</v>
      </c>
      <c r="K604" s="2" t="s">
        <v>998</v>
      </c>
      <c r="L604" s="2" t="s">
        <v>139</v>
      </c>
      <c r="M604" s="2" t="s">
        <v>265</v>
      </c>
    </row>
    <row r="605" spans="1:13">
      <c r="A605" s="96" t="s">
        <v>877</v>
      </c>
      <c r="B605" s="2" t="s">
        <v>160</v>
      </c>
      <c r="C605" s="2" t="s">
        <v>159</v>
      </c>
      <c r="D605" s="2" t="s">
        <v>113</v>
      </c>
      <c r="E605" s="2" t="s">
        <v>965</v>
      </c>
      <c r="F605" s="2" t="s">
        <v>978</v>
      </c>
      <c r="G605" s="2" t="s">
        <v>983</v>
      </c>
      <c r="H605" s="2" t="s">
        <v>821</v>
      </c>
      <c r="I605" s="2" t="s">
        <v>818</v>
      </c>
      <c r="J605" s="2" t="s">
        <v>992</v>
      </c>
      <c r="K605" s="2" t="s">
        <v>966</v>
      </c>
      <c r="L605" s="2" t="s">
        <v>103</v>
      </c>
      <c r="M605" s="2" t="s">
        <v>265</v>
      </c>
    </row>
    <row r="606" spans="1:13">
      <c r="A606" s="96" t="s">
        <v>879</v>
      </c>
      <c r="B606" s="2" t="s">
        <v>271</v>
      </c>
      <c r="C606" s="2" t="s">
        <v>103</v>
      </c>
      <c r="D606" s="2" t="s">
        <v>132</v>
      </c>
      <c r="E606" s="2" t="s">
        <v>949</v>
      </c>
      <c r="F606" s="2" t="s">
        <v>962</v>
      </c>
      <c r="G606" s="2" t="s">
        <v>997</v>
      </c>
      <c r="H606" s="2" t="s">
        <v>997</v>
      </c>
      <c r="I606" s="2" t="s">
        <v>995</v>
      </c>
      <c r="J606" s="2" t="s">
        <v>822</v>
      </c>
      <c r="K606" s="2" t="s">
        <v>969</v>
      </c>
      <c r="L606" s="2" t="s">
        <v>114</v>
      </c>
      <c r="M606" s="2" t="s">
        <v>203</v>
      </c>
    </row>
    <row r="607" spans="1:13">
      <c r="A607" s="96" t="s">
        <v>881</v>
      </c>
      <c r="B607" s="2" t="s">
        <v>270</v>
      </c>
      <c r="C607" s="2" t="s">
        <v>103</v>
      </c>
      <c r="D607" s="2" t="s">
        <v>137</v>
      </c>
      <c r="E607" s="2" t="s">
        <v>964</v>
      </c>
      <c r="F607" s="2" t="s">
        <v>962</v>
      </c>
      <c r="G607" s="2" t="s">
        <v>988</v>
      </c>
      <c r="H607" s="2" t="s">
        <v>993</v>
      </c>
      <c r="I607" s="2" t="s">
        <v>976</v>
      </c>
      <c r="J607" s="2" t="s">
        <v>822</v>
      </c>
      <c r="K607" s="2" t="s">
        <v>969</v>
      </c>
      <c r="L607" s="2" t="s">
        <v>114</v>
      </c>
      <c r="M607" s="2" t="s">
        <v>203</v>
      </c>
    </row>
    <row r="608" spans="1:13">
      <c r="A608" s="96" t="s">
        <v>883</v>
      </c>
      <c r="B608" s="2" t="s">
        <v>117</v>
      </c>
      <c r="C608" s="2" t="s">
        <v>272</v>
      </c>
      <c r="D608" s="2" t="s">
        <v>162</v>
      </c>
      <c r="E608" s="2" t="s">
        <v>968</v>
      </c>
      <c r="F608" s="2" t="s">
        <v>822</v>
      </c>
      <c r="G608" s="2" t="s">
        <v>995</v>
      </c>
      <c r="H608" s="2" t="s">
        <v>997</v>
      </c>
      <c r="I608" s="2" t="s">
        <v>995</v>
      </c>
      <c r="J608" s="2" t="s">
        <v>967</v>
      </c>
      <c r="K608" s="2" t="s">
        <v>969</v>
      </c>
      <c r="L608" s="2" t="s">
        <v>114</v>
      </c>
      <c r="M608" s="2" t="s">
        <v>203</v>
      </c>
    </row>
    <row r="609" spans="1:13">
      <c r="A609" s="96" t="s">
        <v>884</v>
      </c>
      <c r="B609" s="2" t="s">
        <v>280</v>
      </c>
      <c r="C609" s="2" t="s">
        <v>117</v>
      </c>
      <c r="D609" s="2" t="s">
        <v>137</v>
      </c>
      <c r="E609" s="2" t="s">
        <v>968</v>
      </c>
      <c r="F609" s="2" t="s">
        <v>963</v>
      </c>
      <c r="G609" s="2" t="s">
        <v>978</v>
      </c>
      <c r="H609" s="2" t="s">
        <v>992</v>
      </c>
      <c r="I609" s="2" t="s">
        <v>976</v>
      </c>
      <c r="J609" s="2" t="s">
        <v>822</v>
      </c>
      <c r="K609" s="2" t="s">
        <v>952</v>
      </c>
      <c r="L609" s="2" t="s">
        <v>280</v>
      </c>
      <c r="M609" s="2" t="s">
        <v>118</v>
      </c>
    </row>
    <row r="610" spans="1:13">
      <c r="A610" s="96" t="s">
        <v>887</v>
      </c>
      <c r="B610" s="2" t="s">
        <v>114</v>
      </c>
      <c r="C610" s="2" t="s">
        <v>281</v>
      </c>
      <c r="D610" s="2" t="s">
        <v>137</v>
      </c>
      <c r="E610" s="2" t="s">
        <v>949</v>
      </c>
      <c r="F610" s="2" t="s">
        <v>970</v>
      </c>
      <c r="G610" s="2" t="s">
        <v>996</v>
      </c>
      <c r="H610" s="2" t="s">
        <v>993</v>
      </c>
      <c r="I610" s="2" t="s">
        <v>976</v>
      </c>
      <c r="J610" s="2" t="s">
        <v>822</v>
      </c>
      <c r="K610" s="2" t="s">
        <v>804</v>
      </c>
      <c r="L610" s="2" t="s">
        <v>280</v>
      </c>
      <c r="M610" s="2" t="s">
        <v>204</v>
      </c>
    </row>
    <row r="611" spans="1:13">
      <c r="A611" s="96" t="s">
        <v>889</v>
      </c>
      <c r="B611" s="2" t="s">
        <v>117</v>
      </c>
      <c r="C611" s="2" t="s">
        <v>160</v>
      </c>
      <c r="D611" s="2" t="s">
        <v>113</v>
      </c>
      <c r="E611" s="2" t="s">
        <v>959</v>
      </c>
      <c r="F611" s="2" t="s">
        <v>963</v>
      </c>
      <c r="G611" s="2" t="s">
        <v>976</v>
      </c>
      <c r="H611" s="2" t="s">
        <v>997</v>
      </c>
      <c r="I611" s="2" t="s">
        <v>995</v>
      </c>
      <c r="J611" s="2" t="s">
        <v>822</v>
      </c>
      <c r="K611" s="2" t="s">
        <v>952</v>
      </c>
      <c r="L611" s="2" t="s">
        <v>281</v>
      </c>
      <c r="M611" s="2" t="s">
        <v>226</v>
      </c>
    </row>
    <row r="612" spans="1:13">
      <c r="A612" s="96" t="s">
        <v>891</v>
      </c>
      <c r="B612" s="2" t="s">
        <v>272</v>
      </c>
      <c r="C612" s="2" t="s">
        <v>159</v>
      </c>
      <c r="D612" s="2" t="s">
        <v>164</v>
      </c>
      <c r="E612" s="2" t="s">
        <v>965</v>
      </c>
      <c r="F612" s="2" t="s">
        <v>994</v>
      </c>
      <c r="G612" s="2" t="s">
        <v>997</v>
      </c>
      <c r="H612" s="2" t="s">
        <v>983</v>
      </c>
      <c r="I612" s="2" t="s">
        <v>988</v>
      </c>
      <c r="J612" s="2" t="s">
        <v>978</v>
      </c>
      <c r="K612" s="2" t="s">
        <v>959</v>
      </c>
      <c r="L612" s="2" t="s">
        <v>139</v>
      </c>
      <c r="M612" s="2" t="s">
        <v>266</v>
      </c>
    </row>
    <row r="613" spans="1:13">
      <c r="A613" s="96" t="s">
        <v>893</v>
      </c>
      <c r="B613" s="2" t="s">
        <v>159</v>
      </c>
      <c r="C613" s="2" t="s">
        <v>289</v>
      </c>
      <c r="D613" s="2" t="s">
        <v>158</v>
      </c>
      <c r="E613" s="2" t="s">
        <v>974</v>
      </c>
      <c r="F613" s="2" t="s">
        <v>996</v>
      </c>
      <c r="G613" s="2" t="s">
        <v>815</v>
      </c>
      <c r="H613" s="2" t="s">
        <v>821</v>
      </c>
      <c r="I613" s="2" t="s">
        <v>818</v>
      </c>
      <c r="J613" s="2" t="s">
        <v>976</v>
      </c>
      <c r="K613" s="2" t="s">
        <v>958</v>
      </c>
      <c r="L613" s="2" t="s">
        <v>115</v>
      </c>
      <c r="M613" s="2" t="s">
        <v>266</v>
      </c>
    </row>
    <row r="614" spans="1:13">
      <c r="A614" s="96" t="s">
        <v>895</v>
      </c>
      <c r="B614" s="2" t="s">
        <v>153</v>
      </c>
      <c r="C614" s="2" t="s">
        <v>105</v>
      </c>
      <c r="D614" s="2" t="s">
        <v>806</v>
      </c>
      <c r="E614" s="2" t="s">
        <v>962</v>
      </c>
      <c r="F614" s="2" t="s">
        <v>993</v>
      </c>
      <c r="G614" s="2" t="s">
        <v>821</v>
      </c>
      <c r="H614" s="2" t="s">
        <v>991</v>
      </c>
      <c r="I614" s="2" t="s">
        <v>980</v>
      </c>
      <c r="J614" s="2" t="s">
        <v>988</v>
      </c>
      <c r="K614" s="2" t="s">
        <v>961</v>
      </c>
      <c r="L614" s="2" t="s">
        <v>139</v>
      </c>
      <c r="M614" s="2" t="s">
        <v>136</v>
      </c>
    </row>
    <row r="615" spans="1:13">
      <c r="A615" s="96" t="s">
        <v>896</v>
      </c>
      <c r="B615" s="2" t="s">
        <v>146</v>
      </c>
      <c r="C615" s="2" t="s">
        <v>109</v>
      </c>
      <c r="D615" s="2" t="s">
        <v>165</v>
      </c>
      <c r="E615" s="2" t="s">
        <v>996</v>
      </c>
      <c r="F615" s="2" t="s">
        <v>815</v>
      </c>
      <c r="G615" s="2" t="s">
        <v>819</v>
      </c>
      <c r="H615" s="2" t="s">
        <v>814</v>
      </c>
      <c r="I615" s="2" t="s">
        <v>819</v>
      </c>
      <c r="J615" s="2" t="s">
        <v>988</v>
      </c>
      <c r="K615" s="2" t="s">
        <v>961</v>
      </c>
      <c r="L615" s="2" t="s">
        <v>103</v>
      </c>
      <c r="M615" s="2" t="s">
        <v>266</v>
      </c>
    </row>
    <row r="616" spans="1:13">
      <c r="A616" s="96" t="s">
        <v>897</v>
      </c>
      <c r="B616" s="2" t="s">
        <v>138</v>
      </c>
      <c r="C616" s="2" t="s">
        <v>163</v>
      </c>
      <c r="D616" s="2" t="s">
        <v>938</v>
      </c>
      <c r="E616" s="2" t="s">
        <v>992</v>
      </c>
      <c r="F616" s="2" t="s">
        <v>981</v>
      </c>
      <c r="G616" s="2" t="s">
        <v>814</v>
      </c>
      <c r="H616" s="2" t="s">
        <v>985</v>
      </c>
      <c r="I616" s="2" t="s">
        <v>814</v>
      </c>
      <c r="J616" s="2" t="s">
        <v>818</v>
      </c>
      <c r="K616" s="2" t="s">
        <v>970</v>
      </c>
      <c r="L616" s="2" t="s">
        <v>139</v>
      </c>
      <c r="M616" s="2" t="s">
        <v>136</v>
      </c>
    </row>
    <row r="617" spans="1:13">
      <c r="A617" s="96" t="s">
        <v>898</v>
      </c>
      <c r="B617" s="2" t="s">
        <v>137</v>
      </c>
      <c r="C617" s="2" t="s">
        <v>137</v>
      </c>
      <c r="D617" s="2" t="s">
        <v>944</v>
      </c>
      <c r="E617" s="2" t="s">
        <v>978</v>
      </c>
      <c r="F617" s="2" t="s">
        <v>983</v>
      </c>
      <c r="G617" s="2" t="s">
        <v>991</v>
      </c>
      <c r="H617" s="2" t="s">
        <v>971</v>
      </c>
      <c r="I617" s="2" t="s">
        <v>991</v>
      </c>
      <c r="J617" s="2" t="s">
        <v>818</v>
      </c>
      <c r="K617" s="2" t="s">
        <v>803</v>
      </c>
      <c r="L617" s="2" t="s">
        <v>139</v>
      </c>
      <c r="M617" s="2" t="s">
        <v>136</v>
      </c>
    </row>
    <row r="618" spans="1:13">
      <c r="A618" s="96" t="s">
        <v>900</v>
      </c>
      <c r="B618" s="2" t="s">
        <v>128</v>
      </c>
      <c r="C618" s="2" t="s">
        <v>163</v>
      </c>
      <c r="D618" s="2" t="s">
        <v>938</v>
      </c>
      <c r="E618" s="2" t="s">
        <v>988</v>
      </c>
      <c r="F618" s="2" t="s">
        <v>814</v>
      </c>
      <c r="G618" s="2" t="s">
        <v>977</v>
      </c>
      <c r="H618" s="2" t="s">
        <v>975</v>
      </c>
      <c r="I618" s="2" t="s">
        <v>999</v>
      </c>
      <c r="J618" s="2" t="s">
        <v>991</v>
      </c>
      <c r="K618" s="2" t="s">
        <v>817</v>
      </c>
      <c r="L618" s="2" t="s">
        <v>279</v>
      </c>
      <c r="M618" s="2" t="s">
        <v>142</v>
      </c>
    </row>
    <row r="619" spans="1:13">
      <c r="A619" s="96" t="s">
        <v>901</v>
      </c>
      <c r="B619" s="2" t="s">
        <v>128</v>
      </c>
      <c r="C619" s="2" t="s">
        <v>128</v>
      </c>
      <c r="D619" s="2" t="s">
        <v>808</v>
      </c>
      <c r="E619" s="2" t="s">
        <v>818</v>
      </c>
      <c r="F619" s="2" t="s">
        <v>820</v>
      </c>
      <c r="G619" s="2" t="s">
        <v>999</v>
      </c>
      <c r="H619" s="2" t="s">
        <v>982</v>
      </c>
      <c r="I619" s="2" t="s">
        <v>990</v>
      </c>
      <c r="J619" s="2" t="s">
        <v>814</v>
      </c>
      <c r="K619" s="2" t="s">
        <v>978</v>
      </c>
      <c r="L619" s="2" t="s">
        <v>159</v>
      </c>
      <c r="M619" s="2" t="s">
        <v>143</v>
      </c>
    </row>
    <row r="620" spans="1:13">
      <c r="A620" s="96" t="s">
        <v>902</v>
      </c>
      <c r="B620" s="2" t="s">
        <v>132</v>
      </c>
      <c r="C620" s="2" t="s">
        <v>138</v>
      </c>
      <c r="D620" s="2" t="s">
        <v>927</v>
      </c>
      <c r="E620" s="2" t="s">
        <v>995</v>
      </c>
      <c r="F620" s="2" t="s">
        <v>819</v>
      </c>
      <c r="G620" s="2" t="s">
        <v>971</v>
      </c>
      <c r="H620" s="2" t="s">
        <v>990</v>
      </c>
      <c r="I620" s="2" t="s">
        <v>973</v>
      </c>
      <c r="J620" s="2" t="s">
        <v>819</v>
      </c>
      <c r="K620" s="2" t="s">
        <v>994</v>
      </c>
      <c r="L620" s="2" t="s">
        <v>139</v>
      </c>
      <c r="M620" s="2" t="s">
        <v>136</v>
      </c>
    </row>
    <row r="621" spans="1:13">
      <c r="A621" s="96" t="s">
        <v>903</v>
      </c>
      <c r="B621" s="2" t="s">
        <v>132</v>
      </c>
      <c r="C621" s="2" t="s">
        <v>163</v>
      </c>
      <c r="D621" s="2" t="s">
        <v>938</v>
      </c>
      <c r="E621" s="2" t="s">
        <v>997</v>
      </c>
      <c r="F621" s="2" t="s">
        <v>814</v>
      </c>
      <c r="G621" s="2" t="s">
        <v>977</v>
      </c>
      <c r="H621" s="2" t="s">
        <v>975</v>
      </c>
      <c r="I621" s="2" t="s">
        <v>990</v>
      </c>
      <c r="J621" s="2" t="s">
        <v>991</v>
      </c>
      <c r="K621" s="2" t="s">
        <v>817</v>
      </c>
      <c r="L621" s="2" t="s">
        <v>160</v>
      </c>
      <c r="M621" s="2" t="s">
        <v>174</v>
      </c>
    </row>
    <row r="622" spans="1:13">
      <c r="A622" s="96" t="s">
        <v>905</v>
      </c>
      <c r="B622" s="2" t="s">
        <v>162</v>
      </c>
      <c r="C622" s="2" t="s">
        <v>128</v>
      </c>
      <c r="D622" s="2" t="s">
        <v>816</v>
      </c>
      <c r="E622" s="2" t="s">
        <v>818</v>
      </c>
      <c r="F622" s="2" t="s">
        <v>985</v>
      </c>
      <c r="G622" s="2" t="s">
        <v>802</v>
      </c>
      <c r="H622" s="2" t="s">
        <v>979</v>
      </c>
      <c r="I622" s="2" t="s">
        <v>802</v>
      </c>
      <c r="J622" s="2" t="s">
        <v>814</v>
      </c>
      <c r="K622" s="2" t="s">
        <v>978</v>
      </c>
      <c r="L622" s="2" t="s">
        <v>286</v>
      </c>
      <c r="M622" s="2" t="s">
        <v>267</v>
      </c>
    </row>
    <row r="623" spans="1:13">
      <c r="A623" s="96" t="s">
        <v>906</v>
      </c>
      <c r="B623" s="2" t="s">
        <v>129</v>
      </c>
      <c r="C623" s="2" t="s">
        <v>138</v>
      </c>
      <c r="D623" s="2" t="s">
        <v>927</v>
      </c>
      <c r="E623" s="2" t="s">
        <v>819</v>
      </c>
      <c r="F623" s="2" t="s">
        <v>802</v>
      </c>
      <c r="G623" s="2" t="s">
        <v>987</v>
      </c>
      <c r="H623" s="2" t="s">
        <v>1003</v>
      </c>
      <c r="I623" s="2" t="s">
        <v>987</v>
      </c>
      <c r="J623" s="2" t="s">
        <v>977</v>
      </c>
      <c r="K623" s="2" t="s">
        <v>997</v>
      </c>
      <c r="L623" s="2" t="s">
        <v>139</v>
      </c>
      <c r="M623" s="2" t="s">
        <v>193</v>
      </c>
    </row>
    <row r="624" spans="1:13">
      <c r="A624" s="96" t="s">
        <v>908</v>
      </c>
      <c r="B624" s="2" t="s">
        <v>109</v>
      </c>
      <c r="C624" s="2" t="s">
        <v>137</v>
      </c>
      <c r="D624" s="2" t="s">
        <v>944</v>
      </c>
      <c r="E624" s="2" t="s">
        <v>980</v>
      </c>
      <c r="F624" s="2" t="s">
        <v>990</v>
      </c>
      <c r="G624" s="2" t="s">
        <v>987</v>
      </c>
      <c r="H624" s="2" t="s">
        <v>989</v>
      </c>
      <c r="I624" s="2" t="s">
        <v>813</v>
      </c>
      <c r="J624" s="2" t="s">
        <v>990</v>
      </c>
      <c r="K624" s="2" t="s">
        <v>815</v>
      </c>
      <c r="L624" s="2" t="s">
        <v>286</v>
      </c>
      <c r="M624" s="2" t="s">
        <v>267</v>
      </c>
    </row>
    <row r="625" spans="1:13">
      <c r="A625" s="96" t="s">
        <v>909</v>
      </c>
      <c r="B625" s="2" t="s">
        <v>277</v>
      </c>
      <c r="C625" s="2" t="s">
        <v>105</v>
      </c>
      <c r="D625" s="2" t="s">
        <v>932</v>
      </c>
      <c r="E625" s="2" t="s">
        <v>981</v>
      </c>
      <c r="F625" s="2" t="s">
        <v>973</v>
      </c>
      <c r="G625" s="2" t="s">
        <v>979</v>
      </c>
      <c r="H625" s="2" t="s">
        <v>1005</v>
      </c>
      <c r="I625" s="2" t="s">
        <v>1004</v>
      </c>
      <c r="J625" s="2" t="s">
        <v>977</v>
      </c>
      <c r="K625" s="2" t="s">
        <v>997</v>
      </c>
      <c r="L625" s="2" t="s">
        <v>139</v>
      </c>
      <c r="M625" s="2" t="s">
        <v>193</v>
      </c>
    </row>
    <row r="626" spans="1:13">
      <c r="A626" s="96" t="s">
        <v>910</v>
      </c>
      <c r="B626" s="2" t="s">
        <v>159</v>
      </c>
      <c r="C626" s="2" t="s">
        <v>310</v>
      </c>
      <c r="D626" s="2" t="s">
        <v>124</v>
      </c>
      <c r="E626" s="2" t="s">
        <v>815</v>
      </c>
      <c r="F626" s="2" t="s">
        <v>971</v>
      </c>
      <c r="G626" s="2" t="s">
        <v>802</v>
      </c>
      <c r="H626" s="2" t="s">
        <v>1004</v>
      </c>
      <c r="I626" s="2" t="s">
        <v>982</v>
      </c>
      <c r="J626" s="2" t="s">
        <v>971</v>
      </c>
      <c r="K626" s="2" t="s">
        <v>995</v>
      </c>
      <c r="L626" s="2" t="s">
        <v>103</v>
      </c>
      <c r="M626" s="2" t="s">
        <v>193</v>
      </c>
    </row>
    <row r="627" spans="1:13">
      <c r="A627" s="96" t="s">
        <v>911</v>
      </c>
      <c r="B627" s="2" t="s">
        <v>277</v>
      </c>
      <c r="C627" s="2" t="s">
        <v>146</v>
      </c>
      <c r="D627" s="2" t="s">
        <v>932</v>
      </c>
      <c r="E627" s="2" t="s">
        <v>981</v>
      </c>
      <c r="F627" s="2" t="s">
        <v>977</v>
      </c>
      <c r="G627" s="2" t="s">
        <v>1004</v>
      </c>
      <c r="H627" s="2" t="s">
        <v>813</v>
      </c>
      <c r="I627" s="2" t="s">
        <v>1004</v>
      </c>
      <c r="J627" s="2" t="s">
        <v>977</v>
      </c>
      <c r="K627" s="2" t="s">
        <v>993</v>
      </c>
      <c r="L627" s="2" t="s">
        <v>272</v>
      </c>
      <c r="M627" s="2" t="s">
        <v>136</v>
      </c>
    </row>
    <row r="628" spans="1:13">
      <c r="A628" s="96" t="s">
        <v>912</v>
      </c>
      <c r="B628" s="2" t="s">
        <v>146</v>
      </c>
      <c r="C628" s="2" t="s">
        <v>137</v>
      </c>
      <c r="D628" s="2" t="s">
        <v>807</v>
      </c>
      <c r="E628" s="2" t="s">
        <v>821</v>
      </c>
      <c r="F628" s="2" t="s">
        <v>802</v>
      </c>
      <c r="G628" s="2" t="s">
        <v>979</v>
      </c>
      <c r="H628" s="2" t="s">
        <v>813</v>
      </c>
      <c r="I628" s="2" t="s">
        <v>987</v>
      </c>
      <c r="J628" s="2" t="s">
        <v>977</v>
      </c>
      <c r="K628" s="2" t="s">
        <v>997</v>
      </c>
      <c r="L628" s="2" t="s">
        <v>286</v>
      </c>
      <c r="M628" s="2" t="s">
        <v>174</v>
      </c>
    </row>
    <row r="629" spans="1:13">
      <c r="A629" s="96" t="s">
        <v>913</v>
      </c>
      <c r="B629" s="2" t="s">
        <v>277</v>
      </c>
      <c r="C629" s="2" t="s">
        <v>146</v>
      </c>
      <c r="D629" s="2" t="s">
        <v>932</v>
      </c>
      <c r="E629" s="2" t="s">
        <v>818</v>
      </c>
      <c r="F629" s="2" t="s">
        <v>977</v>
      </c>
      <c r="G629" s="2" t="s">
        <v>802</v>
      </c>
      <c r="H629" s="2" t="s">
        <v>987</v>
      </c>
      <c r="I629" s="2" t="s">
        <v>982</v>
      </c>
      <c r="J629" s="2" t="s">
        <v>985</v>
      </c>
      <c r="K629" s="2" t="s">
        <v>992</v>
      </c>
      <c r="L629" s="2" t="s">
        <v>160</v>
      </c>
      <c r="M629" s="2" t="s">
        <v>266</v>
      </c>
    </row>
    <row r="630" spans="1:13">
      <c r="A630" s="96" t="s">
        <v>914</v>
      </c>
      <c r="B630" s="2" t="s">
        <v>286</v>
      </c>
      <c r="C630" s="2" t="s">
        <v>279</v>
      </c>
      <c r="D630" s="2" t="s">
        <v>154</v>
      </c>
      <c r="E630" s="2" t="s">
        <v>976</v>
      </c>
      <c r="F630" s="2" t="s">
        <v>972</v>
      </c>
      <c r="G630" s="2" t="s">
        <v>985</v>
      </c>
      <c r="H630" s="2" t="s">
        <v>802</v>
      </c>
      <c r="I630" s="2" t="s">
        <v>977</v>
      </c>
      <c r="J630" s="2" t="s">
        <v>972</v>
      </c>
      <c r="K630" s="2" t="s">
        <v>994</v>
      </c>
      <c r="L630" s="2" t="s">
        <v>115</v>
      </c>
      <c r="M630" s="2" t="s">
        <v>149</v>
      </c>
    </row>
    <row r="631" spans="1:13">
      <c r="A631" s="96" t="s">
        <v>915</v>
      </c>
      <c r="B631" s="2" t="s">
        <v>160</v>
      </c>
      <c r="C631" s="2" t="s">
        <v>159</v>
      </c>
      <c r="D631" s="2" t="s">
        <v>89</v>
      </c>
      <c r="E631" s="2" t="s">
        <v>976</v>
      </c>
      <c r="F631" s="2" t="s">
        <v>819</v>
      </c>
      <c r="G631" s="2" t="s">
        <v>820</v>
      </c>
      <c r="H631" s="2" t="s">
        <v>999</v>
      </c>
      <c r="I631" s="2" t="s">
        <v>985</v>
      </c>
      <c r="J631" s="2" t="s">
        <v>819</v>
      </c>
      <c r="K631" s="2" t="s">
        <v>817</v>
      </c>
      <c r="L631" s="2" t="s">
        <v>270</v>
      </c>
      <c r="M631" s="2" t="s">
        <v>204</v>
      </c>
    </row>
    <row r="632" spans="1:13">
      <c r="A632" s="96" t="s">
        <v>916</v>
      </c>
      <c r="B632" s="2" t="s">
        <v>286</v>
      </c>
      <c r="C632" s="2" t="s">
        <v>289</v>
      </c>
      <c r="D632" s="2" t="s">
        <v>154</v>
      </c>
      <c r="E632" s="2" t="s">
        <v>992</v>
      </c>
      <c r="F632" s="2" t="s">
        <v>820</v>
      </c>
      <c r="G632" s="2" t="s">
        <v>977</v>
      </c>
      <c r="H632" s="2" t="s">
        <v>975</v>
      </c>
      <c r="I632" s="2" t="s">
        <v>990</v>
      </c>
      <c r="J632" s="2" t="s">
        <v>814</v>
      </c>
      <c r="K632" s="2" t="s">
        <v>976</v>
      </c>
      <c r="L632" s="2" t="s">
        <v>160</v>
      </c>
      <c r="M632" s="2" t="s">
        <v>265</v>
      </c>
    </row>
    <row r="633" spans="1:13">
      <c r="A633" s="96" t="s">
        <v>917</v>
      </c>
      <c r="B633" s="2" t="s">
        <v>153</v>
      </c>
      <c r="C633" s="2" t="s">
        <v>153</v>
      </c>
      <c r="D633" s="2" t="s">
        <v>932</v>
      </c>
      <c r="E633" s="2" t="s">
        <v>981</v>
      </c>
      <c r="F633" s="2" t="s">
        <v>977</v>
      </c>
      <c r="G633" s="2" t="s">
        <v>975</v>
      </c>
      <c r="H633" s="2" t="s">
        <v>1005</v>
      </c>
      <c r="I633" s="2" t="s">
        <v>1004</v>
      </c>
      <c r="J633" s="2" t="s">
        <v>977</v>
      </c>
      <c r="K633" s="2" t="s">
        <v>818</v>
      </c>
      <c r="L633" s="2" t="s">
        <v>279</v>
      </c>
      <c r="M633" s="2" t="s">
        <v>174</v>
      </c>
    </row>
    <row r="634" spans="1:13">
      <c r="A634" s="96" t="s">
        <v>918</v>
      </c>
      <c r="B634" s="2" t="s">
        <v>153</v>
      </c>
      <c r="C634" s="2" t="s">
        <v>132</v>
      </c>
      <c r="D634" s="2" t="s">
        <v>807</v>
      </c>
      <c r="E634" s="2" t="s">
        <v>972</v>
      </c>
      <c r="F634" s="2" t="s">
        <v>982</v>
      </c>
      <c r="G634" s="2" t="s">
        <v>1005</v>
      </c>
      <c r="H634" s="2" t="s">
        <v>1001</v>
      </c>
      <c r="I634" s="2" t="s">
        <v>1003</v>
      </c>
      <c r="J634" s="2" t="s">
        <v>975</v>
      </c>
      <c r="K634" s="2" t="s">
        <v>980</v>
      </c>
      <c r="L634" s="2" t="s">
        <v>156</v>
      </c>
      <c r="M634" s="2" t="s">
        <v>121</v>
      </c>
    </row>
    <row r="635" spans="1:13">
      <c r="A635" s="96" t="s">
        <v>919</v>
      </c>
      <c r="B635" s="2" t="s">
        <v>286</v>
      </c>
      <c r="C635" s="2" t="s">
        <v>159</v>
      </c>
      <c r="D635" s="2" t="s">
        <v>89</v>
      </c>
      <c r="E635" s="2" t="s">
        <v>815</v>
      </c>
      <c r="F635" s="2" t="s">
        <v>973</v>
      </c>
      <c r="G635" s="2" t="s">
        <v>802</v>
      </c>
      <c r="H635" s="2" t="s">
        <v>1005</v>
      </c>
      <c r="I635" s="2" t="s">
        <v>1004</v>
      </c>
      <c r="J635" s="2" t="s">
        <v>977</v>
      </c>
      <c r="K635" s="2" t="s">
        <v>815</v>
      </c>
      <c r="L635" s="2" t="s">
        <v>278</v>
      </c>
      <c r="M635" s="2" t="s">
        <v>143</v>
      </c>
    </row>
    <row r="636" spans="1:13">
      <c r="A636" s="96" t="s">
        <v>920</v>
      </c>
      <c r="B636" s="2" t="s">
        <v>310</v>
      </c>
      <c r="C636" s="2" t="s">
        <v>277</v>
      </c>
      <c r="D636" s="2" t="s">
        <v>116</v>
      </c>
      <c r="E636" s="2" t="s">
        <v>981</v>
      </c>
      <c r="F636" s="2" t="s">
        <v>977</v>
      </c>
      <c r="G636" s="2" t="s">
        <v>813</v>
      </c>
      <c r="H636" s="2" t="s">
        <v>813</v>
      </c>
      <c r="I636" s="2" t="s">
        <v>987</v>
      </c>
      <c r="J636" s="2" t="s">
        <v>999</v>
      </c>
      <c r="K636" s="2" t="s">
        <v>815</v>
      </c>
      <c r="L636" s="2" t="s">
        <v>278</v>
      </c>
      <c r="M636" s="2" t="s">
        <v>172</v>
      </c>
    </row>
    <row r="637" spans="1:13">
      <c r="A637" s="96" t="s">
        <v>921</v>
      </c>
      <c r="B637" s="2" t="s">
        <v>129</v>
      </c>
      <c r="C637" s="2" t="s">
        <v>137</v>
      </c>
      <c r="D637" s="2" t="s">
        <v>807</v>
      </c>
      <c r="E637" s="2" t="s">
        <v>972</v>
      </c>
      <c r="F637" s="2" t="s">
        <v>1004</v>
      </c>
      <c r="G637" s="2" t="s">
        <v>989</v>
      </c>
      <c r="H637" s="2" t="s">
        <v>989</v>
      </c>
      <c r="I637" s="2" t="s">
        <v>1003</v>
      </c>
      <c r="J637" s="2" t="s">
        <v>802</v>
      </c>
      <c r="K637" s="2" t="s">
        <v>981</v>
      </c>
      <c r="L637" s="2" t="s">
        <v>277</v>
      </c>
      <c r="M637" s="2" t="s">
        <v>110</v>
      </c>
    </row>
    <row r="638" spans="1:13">
      <c r="A638" s="96" t="s">
        <v>922</v>
      </c>
      <c r="B638" s="2" t="s">
        <v>137</v>
      </c>
      <c r="C638" s="2" t="s">
        <v>162</v>
      </c>
      <c r="D638" s="2" t="s">
        <v>165</v>
      </c>
      <c r="E638" s="2" t="s">
        <v>814</v>
      </c>
      <c r="F638" s="2" t="s">
        <v>1005</v>
      </c>
      <c r="G638" s="2" t="s">
        <v>1008</v>
      </c>
      <c r="H638" s="2" t="s">
        <v>1000</v>
      </c>
      <c r="I638" s="2" t="s">
        <v>1001</v>
      </c>
      <c r="J638" s="2" t="s">
        <v>979</v>
      </c>
      <c r="K638" s="2" t="s">
        <v>819</v>
      </c>
      <c r="L638" s="2" t="s">
        <v>146</v>
      </c>
      <c r="M638" s="2" t="s">
        <v>120</v>
      </c>
    </row>
    <row r="639" spans="1:13">
      <c r="A639" s="96" t="s">
        <v>923</v>
      </c>
      <c r="B639" s="2" t="s">
        <v>128</v>
      </c>
      <c r="C639" s="2" t="s">
        <v>89</v>
      </c>
      <c r="D639" s="2" t="s">
        <v>933</v>
      </c>
      <c r="E639" s="2" t="s">
        <v>973</v>
      </c>
      <c r="F639" s="2" t="s">
        <v>989</v>
      </c>
      <c r="G639" s="2" t="s">
        <v>1006</v>
      </c>
      <c r="H639" s="2" t="s">
        <v>1006</v>
      </c>
      <c r="I639" s="2" t="s">
        <v>1000</v>
      </c>
      <c r="J639" s="2" t="s">
        <v>813</v>
      </c>
      <c r="K639" s="2" t="s">
        <v>814</v>
      </c>
      <c r="L639" s="2" t="s">
        <v>132</v>
      </c>
      <c r="M639" s="2" t="s">
        <v>147</v>
      </c>
    </row>
    <row r="640" spans="1:13">
      <c r="A640" s="96" t="s">
        <v>924</v>
      </c>
      <c r="B640" s="2" t="s">
        <v>89</v>
      </c>
      <c r="C640" s="2" t="s">
        <v>89</v>
      </c>
      <c r="D640" s="2" t="s">
        <v>816</v>
      </c>
      <c r="E640" s="2" t="s">
        <v>977</v>
      </c>
      <c r="F640" s="2" t="s">
        <v>1001</v>
      </c>
      <c r="G640" s="2" t="s">
        <v>986</v>
      </c>
      <c r="H640" s="2" t="s">
        <v>986</v>
      </c>
      <c r="I640" s="2" t="s">
        <v>1007</v>
      </c>
      <c r="J640" s="2" t="s">
        <v>813</v>
      </c>
      <c r="K640" s="2" t="s">
        <v>814</v>
      </c>
      <c r="L640" s="2" t="s">
        <v>129</v>
      </c>
      <c r="M640" s="2" t="s">
        <v>106</v>
      </c>
    </row>
    <row r="641" spans="1:13">
      <c r="A641" s="96" t="s">
        <v>925</v>
      </c>
      <c r="B641" s="2" t="s">
        <v>162</v>
      </c>
      <c r="C641" s="2" t="s">
        <v>162</v>
      </c>
      <c r="D641" s="2" t="s">
        <v>944</v>
      </c>
      <c r="E641" s="2" t="s">
        <v>814</v>
      </c>
      <c r="F641" s="2" t="s">
        <v>1005</v>
      </c>
      <c r="G641" s="2" t="s">
        <v>1008</v>
      </c>
      <c r="H641" s="2" t="s">
        <v>1000</v>
      </c>
      <c r="I641" s="2" t="s">
        <v>1001</v>
      </c>
      <c r="J641" s="2" t="s">
        <v>979</v>
      </c>
      <c r="K641" s="2" t="s">
        <v>819</v>
      </c>
      <c r="L641" s="2" t="s">
        <v>153</v>
      </c>
      <c r="M641" s="2" t="s">
        <v>121</v>
      </c>
    </row>
    <row r="642" spans="1:13">
      <c r="A642" s="96" t="s">
        <v>926</v>
      </c>
      <c r="B642" s="2" t="s">
        <v>155</v>
      </c>
      <c r="C642" s="2" t="s">
        <v>128</v>
      </c>
      <c r="D642" s="2" t="s">
        <v>933</v>
      </c>
      <c r="E642" s="2" t="s">
        <v>972</v>
      </c>
      <c r="F642" s="2" t="s">
        <v>813</v>
      </c>
      <c r="G642" s="2" t="s">
        <v>984</v>
      </c>
      <c r="H642" s="2" t="s">
        <v>984</v>
      </c>
      <c r="I642" s="2" t="s">
        <v>1002</v>
      </c>
      <c r="J642" s="2" t="s">
        <v>982</v>
      </c>
      <c r="K642" s="2" t="s">
        <v>821</v>
      </c>
      <c r="L642" s="2" t="s">
        <v>277</v>
      </c>
      <c r="M642" s="2" t="s">
        <v>142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3"/>
  <sheetViews>
    <sheetView showGridLines="0" zoomScaleNormal="100" workbookViewId="0">
      <selection activeCell="F14" sqref="F14"/>
    </sheetView>
  </sheetViews>
  <sheetFormatPr defaultColWidth="9.140625" defaultRowHeight="15"/>
  <cols>
    <col min="1" max="12" width="9.140625" style="1"/>
    <col min="13" max="13" width="10.42578125" style="1" bestFit="1" customWidth="1"/>
    <col min="14" max="16384" width="9.140625" style="1"/>
  </cols>
  <sheetData>
    <row r="1" spans="1:13" ht="18.75">
      <c r="A1" s="127" t="s">
        <v>53</v>
      </c>
    </row>
    <row r="2" spans="1:13" ht="15.75">
      <c r="A2" s="10" t="s">
        <v>1013</v>
      </c>
    </row>
    <row r="3" spans="1:13" ht="21">
      <c r="A3" s="23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74" t="s">
        <v>82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 t="s">
        <v>83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 t="s">
        <v>9</v>
      </c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L8" s="4" t="s">
        <v>20</v>
      </c>
      <c r="M8" s="4"/>
    </row>
    <row r="9" spans="1:13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  <c r="G9" s="78">
        <v>7</v>
      </c>
      <c r="H9" s="78">
        <v>8</v>
      </c>
      <c r="I9" s="78">
        <v>9</v>
      </c>
      <c r="J9" s="78">
        <v>10</v>
      </c>
      <c r="K9" s="78">
        <v>11</v>
      </c>
      <c r="L9" s="78">
        <v>12</v>
      </c>
      <c r="M9" s="4"/>
    </row>
    <row r="10" spans="1:13">
      <c r="A10" s="18">
        <v>-0.24258064516128999</v>
      </c>
      <c r="B10" s="18">
        <v>-0.1158928571428568</v>
      </c>
      <c r="C10" s="18">
        <v>-0.15201075268817177</v>
      </c>
      <c r="D10" s="18">
        <v>-9.51666666666664E-2</v>
      </c>
      <c r="E10" s="18">
        <v>-0.13596774193548455</v>
      </c>
      <c r="F10" s="18">
        <v>-0.23950000000000071</v>
      </c>
      <c r="G10" s="18">
        <v>-0.45661290322580617</v>
      </c>
      <c r="H10" s="18">
        <v>-7.9677419354839962E-2</v>
      </c>
      <c r="I10" s="18">
        <v>-0.6619999999999997</v>
      </c>
      <c r="J10" s="18">
        <v>-7.2096774193548097E-2</v>
      </c>
      <c r="K10" s="18">
        <v>-0.24766666666666382</v>
      </c>
      <c r="L10" s="18">
        <v>-0.10370967741935466</v>
      </c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>
      <c r="M61" s="2"/>
    </row>
    <row r="62" spans="1:13">
      <c r="M62" s="2"/>
    </row>
    <row r="63" spans="1:13">
      <c r="M63" s="2"/>
    </row>
  </sheetData>
  <pageMargins left="0.7" right="0.7" top="0.75" bottom="0.75" header="0.3" footer="0.3"/>
  <pageSetup orientation="landscape" r:id="rId1"/>
  <headerFooter>
    <oddFooter>&amp;L&amp;F&amp;C&amp;A&amp;R&amp;D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2"/>
  <sheetViews>
    <sheetView zoomScale="80" zoomScaleNormal="80" workbookViewId="0">
      <selection activeCell="F4" sqref="F4"/>
    </sheetView>
  </sheetViews>
  <sheetFormatPr defaultColWidth="8.85546875" defaultRowHeight="15"/>
  <cols>
    <col min="1" max="1" width="29.5703125" style="5" customWidth="1"/>
    <col min="2" max="2" width="7.85546875" style="5" bestFit="1" customWidth="1"/>
    <col min="3" max="3" width="7.7109375" style="5" bestFit="1" customWidth="1"/>
    <col min="4" max="4" width="7.85546875" style="5" bestFit="1" customWidth="1"/>
    <col min="5" max="5" width="7.28515625" style="5" bestFit="1" customWidth="1"/>
    <col min="6" max="6" width="8" style="5" customWidth="1"/>
    <col min="7" max="7" width="7.28515625" style="5" bestFit="1" customWidth="1"/>
    <col min="8" max="8" width="6.7109375" style="5" bestFit="1" customWidth="1"/>
    <col min="9" max="10" width="7.7109375" style="5" bestFit="1" customWidth="1"/>
    <col min="11" max="11" width="7.140625" style="5" bestFit="1" customWidth="1"/>
    <col min="12" max="12" width="7.7109375" style="5" bestFit="1" customWidth="1"/>
    <col min="13" max="13" width="8.42578125" style="5" customWidth="1"/>
    <col min="14" max="16" width="8.85546875" style="5"/>
    <col min="17" max="19" width="8.140625" style="5" customWidth="1"/>
    <col min="20" max="16384" width="8.85546875" style="5"/>
  </cols>
  <sheetData>
    <row r="1" spans="1:14" ht="18.75">
      <c r="A1" s="127" t="s">
        <v>53</v>
      </c>
    </row>
    <row r="2" spans="1:14" ht="15.75">
      <c r="A2" s="10" t="s">
        <v>1013</v>
      </c>
    </row>
    <row r="3" spans="1:14" ht="21">
      <c r="A3" s="23" t="s">
        <v>55</v>
      </c>
    </row>
    <row r="4" spans="1:14" ht="15.75">
      <c r="A4" s="59" t="s">
        <v>1011</v>
      </c>
    </row>
    <row r="5" spans="1:14">
      <c r="B5" s="19"/>
      <c r="C5" s="20"/>
      <c r="D5" s="20"/>
      <c r="E5" s="20"/>
      <c r="F5" s="20"/>
      <c r="G5" s="20"/>
      <c r="H5" s="20"/>
      <c r="I5" s="20"/>
    </row>
    <row r="6" spans="1:14" ht="60">
      <c r="A6" s="3" t="s">
        <v>49</v>
      </c>
      <c r="B6" s="7">
        <v>45292</v>
      </c>
      <c r="C6" s="7">
        <v>45323</v>
      </c>
      <c r="D6" s="7">
        <v>45352</v>
      </c>
      <c r="E6" s="7">
        <v>45383</v>
      </c>
      <c r="F6" s="7">
        <v>45413</v>
      </c>
      <c r="G6" s="7">
        <v>45444</v>
      </c>
      <c r="H6" s="7">
        <v>45474</v>
      </c>
      <c r="I6" s="7">
        <v>45505</v>
      </c>
      <c r="J6" s="7">
        <v>45536</v>
      </c>
      <c r="K6" s="7">
        <v>45566</v>
      </c>
      <c r="L6" s="7">
        <v>45597</v>
      </c>
      <c r="M6" s="7">
        <v>45627</v>
      </c>
      <c r="N6" s="120" t="s">
        <v>467</v>
      </c>
    </row>
    <row r="7" spans="1:14">
      <c r="A7" s="6" t="s">
        <v>0</v>
      </c>
      <c r="B7" s="8">
        <f>GETPIVOTDATA("[Measures].[Price &amp; HeatRate]",'Lacima Data'!$A$11,"[Delivery Date].[Month]","[Delivery Date].[Month].&amp;[2024/Jan]","[Delivery Region].[DeliveryRegion]","[Delivery Region].[DeliveryRegion].&amp;[Sumas]")*1</f>
        <v>10.31</v>
      </c>
      <c r="C7" s="8">
        <f>GETPIVOTDATA("[Measures].[Price &amp; HeatRate]",'Lacima Data'!$A$11,"[Delivery Date].[Month]","[Delivery Date].[Month].&amp;[2024/Feb]","[Delivery Region].[DeliveryRegion]","[Delivery Region].[DeliveryRegion].&amp;[Sumas]")*1</f>
        <v>8.77</v>
      </c>
      <c r="D7" s="8">
        <f>GETPIVOTDATA("[Measures].[Price &amp; HeatRate]",'Lacima Data'!$A$11,"[Delivery Date].[Month]","[Delivery Date].[Month].&amp;[2024/Mar]","[Delivery Region].[DeliveryRegion]","[Delivery Region].[DeliveryRegion].&amp;[Sumas]")*1</f>
        <v>5.26</v>
      </c>
      <c r="E7" s="8">
        <f>GETPIVOTDATA("[Measures].[Price &amp; HeatRate]",'Lacima Data'!$A$11,"[Delivery Date].[Month]","[Delivery Date].[Month].&amp;[2024/Apr]","[Delivery Region].[DeliveryRegion]","[Delivery Region].[DeliveryRegion].&amp;[Sumas]")*1</f>
        <v>3.13</v>
      </c>
      <c r="F7" s="8">
        <f>GETPIVOTDATA("[Measures].[Price &amp; HeatRate]",'Lacima Data'!$A$11,"[Delivery Date].[Month]","[Delivery Date].[Month].&amp;[2024/May]","[Delivery Region].[DeliveryRegion]","[Delivery Region].[DeliveryRegion].&amp;[Sumas]")*1</f>
        <v>2.59</v>
      </c>
      <c r="G7" s="8">
        <f>GETPIVOTDATA("[Measures].[Price &amp; HeatRate]",'Lacima Data'!$A$11,"[Delivery Date].[Month]","[Delivery Date].[Month].&amp;[2024/Jun]","[Delivery Region].[DeliveryRegion]","[Delivery Region].[DeliveryRegion].&amp;[Sumas]")*1</f>
        <v>2.76</v>
      </c>
      <c r="H7" s="8">
        <f>GETPIVOTDATA("[Measures].[Price &amp; HeatRate]",'Lacima Data'!$A$11,"[Delivery Date].[Month]","[Delivery Date].[Month].&amp;[2024/Jul]","[Delivery Region].[DeliveryRegion]","[Delivery Region].[DeliveryRegion].&amp;[Sumas]")*1</f>
        <v>3.41</v>
      </c>
      <c r="I7" s="8">
        <f>GETPIVOTDATA("[Measures].[Price &amp; HeatRate]",'Lacima Data'!$A$11,"[Delivery Date].[Month]","[Delivery Date].[Month].&amp;[2024/Aug]","[Delivery Region].[DeliveryRegion]","[Delivery Region].[DeliveryRegion].&amp;[Sumas]")*1</f>
        <v>3.58</v>
      </c>
      <c r="J7" s="8">
        <f>GETPIVOTDATA("[Measures].[Price &amp; HeatRate]",'Lacima Data'!$A$11,"[Delivery Date].[Month]","[Delivery Date].[Month].&amp;[2024/Sep]","[Delivery Region].[DeliveryRegion]","[Delivery Region].[DeliveryRegion].&amp;[Sumas]")*1</f>
        <v>3.4</v>
      </c>
      <c r="K7" s="8">
        <f>GETPIVOTDATA("[Measures].[Price &amp; HeatRate]",'Lacima Data'!$A$11,"[Delivery Date].[Month]","[Delivery Date].[Month].&amp;[2024/Oct]","[Delivery Region].[DeliveryRegion]","[Delivery Region].[DeliveryRegion].&amp;[Sumas]")*1</f>
        <v>3.31</v>
      </c>
      <c r="L7" s="8">
        <f>GETPIVOTDATA("[Measures].[Price &amp; HeatRate]",'Lacima Data'!$A$11,"[Delivery Date].[Month]","[Delivery Date].[Month].&amp;[2024/Nov]","[Delivery Region].[DeliveryRegion]","[Delivery Region].[DeliveryRegion].&amp;[Sumas]")*1</f>
        <v>5.8</v>
      </c>
      <c r="M7" s="8">
        <f>GETPIVOTDATA("[Measures].[Price &amp; HeatRate]",'Lacima Data'!$A$11,"[Delivery Date].[Month]","[Delivery Date].[Month].&amp;[2024/Dec]","[Delivery Region].[DeliveryRegion]","[Delivery Region].[DeliveryRegion].&amp;[Sumas]")*1</f>
        <v>7.87</v>
      </c>
      <c r="N7" s="9">
        <f t="shared" ref="N7:N17" si="0">AVERAGE(B7:M7)</f>
        <v>5.0158333333333323</v>
      </c>
    </row>
    <row r="8" spans="1:14">
      <c r="A8" s="6" t="s">
        <v>1</v>
      </c>
      <c r="B8" s="8">
        <f>GETPIVOTDATA("[Measures].[Price &amp; HeatRate]",'Lacima Data'!$A$11,"[Delivery Date].[Month]","[Delivery Date].[Month].&amp;[2024/Jan]","[Delivery Region].[DeliveryRegion]","[Delivery Region].[DeliveryRegion].&amp;[AECO]")*1</f>
        <v>2.67</v>
      </c>
      <c r="C8" s="8">
        <f>GETPIVOTDATA("[Measures].[Price &amp; HeatRate]",'Lacima Data'!$A$11,"[Delivery Date].[Month]","[Delivery Date].[Month].&amp;[2024/Feb]","[Delivery Region].[DeliveryRegion]","[Delivery Region].[DeliveryRegion].&amp;[AECO]")*1</f>
        <v>2.64</v>
      </c>
      <c r="D8" s="8">
        <f>GETPIVOTDATA("[Measures].[Price &amp; HeatRate]",'Lacima Data'!$A$11,"[Delivery Date].[Month]","[Delivery Date].[Month].&amp;[2024/Mar]","[Delivery Region].[DeliveryRegion]","[Delivery Region].[DeliveryRegion].&amp;[AECO]")*1</f>
        <v>2.4500000000000002</v>
      </c>
      <c r="E8" s="8">
        <f>GETPIVOTDATA("[Measures].[Price &amp; HeatRate]",'Lacima Data'!$A$11,"[Delivery Date].[Month]","[Delivery Date].[Month].&amp;[2024/Apr]","[Delivery Region].[DeliveryRegion]","[Delivery Region].[DeliveryRegion].&amp;[AECO]")*1</f>
        <v>2.2599999999999998</v>
      </c>
      <c r="F8" s="8">
        <f>GETPIVOTDATA("[Measures].[Price &amp; HeatRate]",'Lacima Data'!$A$11,"[Delivery Date].[Month]","[Delivery Date].[Month].&amp;[2024/May]","[Delivery Region].[DeliveryRegion]","[Delivery Region].[DeliveryRegion].&amp;[AECO]")*1</f>
        <v>2.15</v>
      </c>
      <c r="G8" s="8">
        <f>GETPIVOTDATA("[Measures].[Price &amp; HeatRate]",'Lacima Data'!$A$11,"[Delivery Date].[Month]","[Delivery Date].[Month].&amp;[2024/Jun]","[Delivery Region].[DeliveryRegion]","[Delivery Region].[DeliveryRegion].&amp;[AECO]")*1</f>
        <v>2.1</v>
      </c>
      <c r="H8" s="8">
        <f>GETPIVOTDATA("[Measures].[Price &amp; HeatRate]",'Lacima Data'!$A$11,"[Delivery Date].[Month]","[Delivery Date].[Month].&amp;[2024/Jul]","[Delivery Region].[DeliveryRegion]","[Delivery Region].[DeliveryRegion].&amp;[AECO]")*1</f>
        <v>2.0499999999999998</v>
      </c>
      <c r="I8" s="8">
        <f>GETPIVOTDATA("[Measures].[Price &amp; HeatRate]",'Lacima Data'!$A$11,"[Delivery Date].[Month]","[Delivery Date].[Month].&amp;[2024/Aug]","[Delivery Region].[DeliveryRegion]","[Delivery Region].[DeliveryRegion].&amp;[AECO]")*1</f>
        <v>2.08</v>
      </c>
      <c r="J8" s="8">
        <f>GETPIVOTDATA("[Measures].[Price &amp; HeatRate]",'Lacima Data'!$A$11,"[Delivery Date].[Month]","[Delivery Date].[Month].&amp;[2024/Sep]","[Delivery Region].[DeliveryRegion]","[Delivery Region].[DeliveryRegion].&amp;[AECO]")*1</f>
        <v>2.12</v>
      </c>
      <c r="K8" s="8">
        <f>GETPIVOTDATA("[Measures].[Price &amp; HeatRate]",'Lacima Data'!$A$11,"[Delivery Date].[Month]","[Delivery Date].[Month].&amp;[2024/Oct]","[Delivery Region].[DeliveryRegion]","[Delivery Region].[DeliveryRegion].&amp;[AECO]")*1</f>
        <v>2.29</v>
      </c>
      <c r="L8" s="8">
        <f>GETPIVOTDATA("[Measures].[Price &amp; HeatRate]",'Lacima Data'!$A$11,"[Delivery Date].[Month]","[Delivery Date].[Month].&amp;[2024/Nov]","[Delivery Region].[DeliveryRegion]","[Delivery Region].[DeliveryRegion].&amp;[AECO]")*1</f>
        <v>2.73</v>
      </c>
      <c r="M8" s="8">
        <f>GETPIVOTDATA("[Measures].[Price &amp; HeatRate]",'Lacima Data'!$A$11,"[Delivery Date].[Month]","[Delivery Date].[Month].&amp;[2024/Dec]","[Delivery Region].[DeliveryRegion]","[Delivery Region].[DeliveryRegion].&amp;[AECO]")*1</f>
        <v>3.06</v>
      </c>
      <c r="N8" s="9">
        <f t="shared" si="0"/>
        <v>2.3833333333333333</v>
      </c>
    </row>
    <row r="9" spans="1:14">
      <c r="A9" s="6" t="s">
        <v>2</v>
      </c>
      <c r="B9" s="8">
        <f>GETPIVOTDATA("[Measures].[Price &amp; HeatRate]",'Lacima Data'!$A$11,"[Delivery Date].[Month]","[Delivery Date].[Month].&amp;[2024/Jan]","[Delivery Region].[DeliveryRegion]","[Delivery Region].[DeliveryRegion].&amp;[Stanfield]")*1</f>
        <v>7.26</v>
      </c>
      <c r="C9" s="8">
        <f>GETPIVOTDATA("[Measures].[Price &amp; HeatRate]",'Lacima Data'!$A$11,"[Delivery Date].[Month]","[Delivery Date].[Month].&amp;[2024/Feb]","[Delivery Region].[DeliveryRegion]","[Delivery Region].[DeliveryRegion].&amp;[Stanfield]")*1</f>
        <v>6.73</v>
      </c>
      <c r="D9" s="8">
        <f>GETPIVOTDATA("[Measures].[Price &amp; HeatRate]",'Lacima Data'!$A$11,"[Delivery Date].[Month]","[Delivery Date].[Month].&amp;[2024/Mar]","[Delivery Region].[DeliveryRegion]","[Delivery Region].[DeliveryRegion].&amp;[Stanfield]")*1</f>
        <v>4.08</v>
      </c>
      <c r="E9" s="8">
        <f>GETPIVOTDATA("[Measures].[Price &amp; HeatRate]",'Lacima Data'!$A$11,"[Delivery Date].[Month]","[Delivery Date].[Month].&amp;[2024/Apr]","[Delivery Region].[DeliveryRegion]","[Delivery Region].[DeliveryRegion].&amp;[Stanfield]")*1</f>
        <v>3.14</v>
      </c>
      <c r="F9" s="8">
        <f>GETPIVOTDATA("[Measures].[Price &amp; HeatRate]",'Lacima Data'!$A$11,"[Delivery Date].[Month]","[Delivery Date].[Month].&amp;[2024/May]","[Delivery Region].[DeliveryRegion]","[Delivery Region].[DeliveryRegion].&amp;[Stanfield]")*1</f>
        <v>2.79</v>
      </c>
      <c r="G9" s="8">
        <f>GETPIVOTDATA("[Measures].[Price &amp; HeatRate]",'Lacima Data'!$A$11,"[Delivery Date].[Month]","[Delivery Date].[Month].&amp;[2024/Jun]","[Delivery Region].[DeliveryRegion]","[Delivery Region].[DeliveryRegion].&amp;[Stanfield]")*1</f>
        <v>2.91</v>
      </c>
      <c r="H9" s="8">
        <f>GETPIVOTDATA("[Measures].[Price &amp; HeatRate]",'Lacima Data'!$A$11,"[Delivery Date].[Month]","[Delivery Date].[Month].&amp;[2024/Jul]","[Delivery Region].[DeliveryRegion]","[Delivery Region].[DeliveryRegion].&amp;[Stanfield]")*1</f>
        <v>3.36</v>
      </c>
      <c r="I9" s="8">
        <f>GETPIVOTDATA("[Measures].[Price &amp; HeatRate]",'Lacima Data'!$A$11,"[Delivery Date].[Month]","[Delivery Date].[Month].&amp;[2024/Aug]","[Delivery Region].[DeliveryRegion]","[Delivery Region].[DeliveryRegion].&amp;[Stanfield]")*1</f>
        <v>3.42</v>
      </c>
      <c r="J9" s="8">
        <f>GETPIVOTDATA("[Measures].[Price &amp; HeatRate]",'Lacima Data'!$A$11,"[Delivery Date].[Month]","[Delivery Date].[Month].&amp;[2024/Sep]","[Delivery Region].[DeliveryRegion]","[Delivery Region].[DeliveryRegion].&amp;[Stanfield]")*1</f>
        <v>3.36</v>
      </c>
      <c r="K9" s="8">
        <f>GETPIVOTDATA("[Measures].[Price &amp; HeatRate]",'Lacima Data'!$A$11,"[Delivery Date].[Month]","[Delivery Date].[Month].&amp;[2024/Oct]","[Delivery Region].[DeliveryRegion]","[Delivery Region].[DeliveryRegion].&amp;[Stanfield]")*1</f>
        <v>3.23</v>
      </c>
      <c r="L9" s="8">
        <f>GETPIVOTDATA("[Measures].[Price &amp; HeatRate]",'Lacima Data'!$A$11,"[Delivery Date].[Month]","[Delivery Date].[Month].&amp;[2024/Nov]","[Delivery Region].[DeliveryRegion]","[Delivery Region].[DeliveryRegion].&amp;[Stanfield]")*1</f>
        <v>4.2699999999999996</v>
      </c>
      <c r="M9" s="8">
        <f>GETPIVOTDATA("[Measures].[Price &amp; HeatRate]",'Lacima Data'!$A$11,"[Delivery Date].[Month]","[Delivery Date].[Month].&amp;[2024/Dec]","[Delivery Region].[DeliveryRegion]","[Delivery Region].[DeliveryRegion].&amp;[Stanfield]")*1</f>
        <v>6.01</v>
      </c>
      <c r="N9" s="9">
        <f t="shared" si="0"/>
        <v>4.2133333333333329</v>
      </c>
    </row>
    <row r="10" spans="1:14">
      <c r="A10" s="6" t="s">
        <v>7</v>
      </c>
      <c r="B10" s="8">
        <f>B9+Kingsgate!A10</f>
        <v>7.0174193548387098</v>
      </c>
      <c r="C10" s="8">
        <f>C9+Kingsgate!B10</f>
        <v>6.6141071428571436</v>
      </c>
      <c r="D10" s="8">
        <f>D9+Kingsgate!C10</f>
        <v>3.9279892473118281</v>
      </c>
      <c r="E10" s="8">
        <f>E9+Kingsgate!D10</f>
        <v>3.0448333333333339</v>
      </c>
      <c r="F10" s="8">
        <f>F9+Kingsgate!E10</f>
        <v>2.6540322580645155</v>
      </c>
      <c r="G10" s="8">
        <f>G9+Kingsgate!F10</f>
        <v>2.6704999999999997</v>
      </c>
      <c r="H10" s="8">
        <f>H9+Kingsgate!G10</f>
        <v>2.9033870967741935</v>
      </c>
      <c r="I10" s="8">
        <f>I9+Kingsgate!H10</f>
        <v>3.34032258064516</v>
      </c>
      <c r="J10" s="8">
        <f>J9+Kingsgate!I10</f>
        <v>2.6980000000000004</v>
      </c>
      <c r="K10" s="8">
        <f>K9+Kingsgate!J10</f>
        <v>3.1579032258064519</v>
      </c>
      <c r="L10" s="8">
        <f>L9+Kingsgate!K10</f>
        <v>4.0223333333333358</v>
      </c>
      <c r="M10" s="8">
        <f>M9+Kingsgate!L10</f>
        <v>5.9062903225806451</v>
      </c>
      <c r="N10" s="9">
        <f t="shared" si="0"/>
        <v>3.9964264912954426</v>
      </c>
    </row>
    <row r="11" spans="1:14">
      <c r="A11" s="6" t="s">
        <v>22</v>
      </c>
      <c r="B11" s="8">
        <f>GETPIVOTDATA("[Measures].[Price &amp; HeatRate]",'Lacima Data'!$A$11,"[Delivery Date].[Month]","[Delivery Date].[Month].&amp;[2024/Jan]","[Delivery Region].[DeliveryRegion]","[Delivery Region].[DeliveryRegion].&amp;[PG&amp;E]")*1</f>
        <v>7.65</v>
      </c>
      <c r="C11" s="8">
        <f>GETPIVOTDATA("[Measures].[Price &amp; HeatRate]",'Lacima Data'!$A$11,"[Delivery Date].[Month]","[Delivery Date].[Month].&amp;[2024/Feb]","[Delivery Region].[DeliveryRegion]","[Delivery Region].[DeliveryRegion].&amp;[PG&amp;E]")*1</f>
        <v>7.16</v>
      </c>
      <c r="D11" s="8">
        <f>GETPIVOTDATA("[Measures].[Price &amp; HeatRate]",'Lacima Data'!$A$11,"[Delivery Date].[Month]","[Delivery Date].[Month].&amp;[2024/Mar]","[Delivery Region].[DeliveryRegion]","[Delivery Region].[DeliveryRegion].&amp;[PG&amp;E]")*1</f>
        <v>5.18</v>
      </c>
      <c r="E11" s="8">
        <f>GETPIVOTDATA("[Measures].[Price &amp; HeatRate]",'Lacima Data'!$A$11,"[Delivery Date].[Month]","[Delivery Date].[Month].&amp;[2024/Apr]","[Delivery Region].[DeliveryRegion]","[Delivery Region].[DeliveryRegion].&amp;[PG&amp;E]")*1</f>
        <v>4.3899999999999997</v>
      </c>
      <c r="F11" s="8">
        <f>GETPIVOTDATA("[Measures].[Price &amp; HeatRate]",'Lacima Data'!$A$11,"[Delivery Date].[Month]","[Delivery Date].[Month].&amp;[2024/May]","[Delivery Region].[DeliveryRegion]","[Delivery Region].[DeliveryRegion].&amp;[PG&amp;E]")*1</f>
        <v>4.29</v>
      </c>
      <c r="G11" s="8">
        <f>GETPIVOTDATA("[Measures].[Price &amp; HeatRate]",'Lacima Data'!$A$11,"[Delivery Date].[Month]","[Delivery Date].[Month].&amp;[2024/Jun]","[Delivery Region].[DeliveryRegion]","[Delivery Region].[DeliveryRegion].&amp;[PG&amp;E]")*1</f>
        <v>4.46</v>
      </c>
      <c r="H11" s="8">
        <f>GETPIVOTDATA("[Measures].[Price &amp; HeatRate]",'Lacima Data'!$A$11,"[Delivery Date].[Month]","[Delivery Date].[Month].&amp;[2024/Jul]","[Delivery Region].[DeliveryRegion]","[Delivery Region].[DeliveryRegion].&amp;[PG&amp;E]")*1</f>
        <v>4.8899999999999997</v>
      </c>
      <c r="I11" s="8">
        <f>GETPIVOTDATA("[Measures].[Price &amp; HeatRate]",'Lacima Data'!$A$11,"[Delivery Date].[Month]","[Delivery Date].[Month].&amp;[2024/Aug]","[Delivery Region].[DeliveryRegion]","[Delivery Region].[DeliveryRegion].&amp;[PG&amp;E]")*1</f>
        <v>4.9800000000000004</v>
      </c>
      <c r="J11" s="8">
        <f>GETPIVOTDATA("[Measures].[Price &amp; HeatRate]",'Lacima Data'!$A$11,"[Delivery Date].[Month]","[Delivery Date].[Month].&amp;[2024/Sep]","[Delivery Region].[DeliveryRegion]","[Delivery Region].[DeliveryRegion].&amp;[PG&amp;E]")*1</f>
        <v>4.91</v>
      </c>
      <c r="K11" s="8">
        <f>GETPIVOTDATA("[Measures].[Price &amp; HeatRate]",'Lacima Data'!$A$11,"[Delivery Date].[Month]","[Delivery Date].[Month].&amp;[2024/Oct]","[Delivery Region].[DeliveryRegion]","[Delivery Region].[DeliveryRegion].&amp;[PG&amp;E]")*1</f>
        <v>4.8099999999999996</v>
      </c>
      <c r="L11" s="8">
        <f>GETPIVOTDATA("[Measures].[Price &amp; HeatRate]",'Lacima Data'!$A$11,"[Delivery Date].[Month]","[Delivery Date].[Month].&amp;[2024/Nov]","[Delivery Region].[DeliveryRegion]","[Delivery Region].[DeliveryRegion].&amp;[PG&amp;E]")*1</f>
        <v>5.41</v>
      </c>
      <c r="M11" s="8">
        <f>GETPIVOTDATA("[Measures].[Price &amp; HeatRate]",'Lacima Data'!$A$11,"[Delivery Date].[Month]","[Delivery Date].[Month].&amp;[2024/Dec]","[Delivery Region].[DeliveryRegion]","[Delivery Region].[DeliveryRegion].&amp;[PG&amp;E]")*1</f>
        <v>6.46</v>
      </c>
      <c r="N11" s="9">
        <f t="shared" si="0"/>
        <v>5.3824999999999994</v>
      </c>
    </row>
    <row r="12" spans="1:14">
      <c r="A12" s="6" t="s">
        <v>23</v>
      </c>
      <c r="B12" s="8">
        <f>GETPIVOTDATA("[Measures].[Price &amp; HeatRate]",'Lacima Data'!$A$11,"[Delivery Date].[Month]","[Delivery Date].[Month].&amp;[2024/Jan]","[Delivery Region].[DeliveryRegion]","[Delivery Region].[DeliveryRegion].&amp;[SoCal]")*1</f>
        <v>7.74</v>
      </c>
      <c r="C12" s="8">
        <f>GETPIVOTDATA("[Measures].[Price &amp; HeatRate]",'Lacima Data'!$A$11,"[Delivery Date].[Month]","[Delivery Date].[Month].&amp;[2024/Feb]","[Delivery Region].[DeliveryRegion]","[Delivery Region].[DeliveryRegion].&amp;[SoCal]")*1</f>
        <v>6.94</v>
      </c>
      <c r="D12" s="8">
        <f>GETPIVOTDATA("[Measures].[Price &amp; HeatRate]",'Lacima Data'!$A$11,"[Delivery Date].[Month]","[Delivery Date].[Month].&amp;[2024/Mar]","[Delivery Region].[DeliveryRegion]","[Delivery Region].[DeliveryRegion].&amp;[SoCal]")*1</f>
        <v>4.21</v>
      </c>
      <c r="E12" s="8">
        <f>GETPIVOTDATA("[Measures].[Price &amp; HeatRate]",'Lacima Data'!$A$11,"[Delivery Date].[Month]","[Delivery Date].[Month].&amp;[2024/Apr]","[Delivery Region].[DeliveryRegion]","[Delivery Region].[DeliveryRegion].&amp;[SoCal]")*1</f>
        <v>3.35</v>
      </c>
      <c r="F12" s="8">
        <f>GETPIVOTDATA("[Measures].[Price &amp; HeatRate]",'Lacima Data'!$A$11,"[Delivery Date].[Month]","[Delivery Date].[Month].&amp;[2024/May]","[Delivery Region].[DeliveryRegion]","[Delivery Region].[DeliveryRegion].&amp;[SoCal]")*1</f>
        <v>3.09</v>
      </c>
      <c r="G12" s="8">
        <f>GETPIVOTDATA("[Measures].[Price &amp; HeatRate]",'Lacima Data'!$A$11,"[Delivery Date].[Month]","[Delivery Date].[Month].&amp;[2024/Jun]","[Delivery Region].[DeliveryRegion]","[Delivery Region].[DeliveryRegion].&amp;[SoCal]")*1</f>
        <v>3.4</v>
      </c>
      <c r="H12" s="8">
        <f>GETPIVOTDATA("[Measures].[Price &amp; HeatRate]",'Lacima Data'!$A$11,"[Delivery Date].[Month]","[Delivery Date].[Month].&amp;[2024/Jul]","[Delivery Region].[DeliveryRegion]","[Delivery Region].[DeliveryRegion].&amp;[SoCal]")*1</f>
        <v>4.9400000000000004</v>
      </c>
      <c r="I12" s="8">
        <f>GETPIVOTDATA("[Measures].[Price &amp; HeatRate]",'Lacima Data'!$A$11,"[Delivery Date].[Month]","[Delivery Date].[Month].&amp;[2024/Aug]","[Delivery Region].[DeliveryRegion]","[Delivery Region].[DeliveryRegion].&amp;[SoCal]")*1</f>
        <v>5.03</v>
      </c>
      <c r="J12" s="8">
        <f>GETPIVOTDATA("[Measures].[Price &amp; HeatRate]",'Lacima Data'!$A$11,"[Delivery Date].[Month]","[Delivery Date].[Month].&amp;[2024/Sep]","[Delivery Region].[DeliveryRegion]","[Delivery Region].[DeliveryRegion].&amp;[SoCal]")*1</f>
        <v>4.93</v>
      </c>
      <c r="K12" s="8">
        <f>GETPIVOTDATA("[Measures].[Price &amp; HeatRate]",'Lacima Data'!$A$11,"[Delivery Date].[Month]","[Delivery Date].[Month].&amp;[2024/Oct]","[Delivery Region].[DeliveryRegion]","[Delivery Region].[DeliveryRegion].&amp;[SoCal]")*1</f>
        <v>3.7</v>
      </c>
      <c r="L12" s="8">
        <f>GETPIVOTDATA("[Measures].[Price &amp; HeatRate]",'Lacima Data'!$A$11,"[Delivery Date].[Month]","[Delivery Date].[Month].&amp;[2024/Nov]","[Delivery Region].[DeliveryRegion]","[Delivery Region].[DeliveryRegion].&amp;[SoCal]")*1</f>
        <v>4.8</v>
      </c>
      <c r="M12" s="8">
        <f>GETPIVOTDATA("[Measures].[Price &amp; HeatRate]",'Lacima Data'!$A$11,"[Delivery Date].[Month]","[Delivery Date].[Month].&amp;[2024/Dec]","[Delivery Region].[DeliveryRegion]","[Delivery Region].[DeliveryRegion].&amp;[SoCal]")*1</f>
        <v>6.71</v>
      </c>
      <c r="N12" s="9">
        <f t="shared" si="0"/>
        <v>4.9033333333333333</v>
      </c>
    </row>
    <row r="13" spans="1:14">
      <c r="A13" s="6" t="s">
        <v>3</v>
      </c>
      <c r="B13" s="8">
        <f>GETPIVOTDATA("[Measures].[Price &amp; HeatRate]",'Lacima Data'!$A$11,"[Delivery Date].[Month]","[Delivery Date].[Month].&amp;[2024/Jan]","[Delivery Region].[DeliveryRegion]","[Delivery Region].[DeliveryRegion].&amp;[San Juan]")*1</f>
        <v>5.82</v>
      </c>
      <c r="C13" s="8">
        <f>GETPIVOTDATA("[Measures].[Price &amp; HeatRate]",'Lacima Data'!$A$11,"[Delivery Date].[Month]","[Delivery Date].[Month].&amp;[2024/Feb]","[Delivery Region].[DeliveryRegion]","[Delivery Region].[DeliveryRegion].&amp;[San Juan]")*1</f>
        <v>5.63</v>
      </c>
      <c r="D13" s="8">
        <f>GETPIVOTDATA("[Measures].[Price &amp; HeatRate]",'Lacima Data'!$A$11,"[Delivery Date].[Month]","[Delivery Date].[Month].&amp;[2024/Mar]","[Delivery Region].[DeliveryRegion]","[Delivery Region].[DeliveryRegion].&amp;[San Juan]")*1</f>
        <v>3.8</v>
      </c>
      <c r="E13" s="8">
        <f>GETPIVOTDATA("[Measures].[Price &amp; HeatRate]",'Lacima Data'!$A$11,"[Delivery Date].[Month]","[Delivery Date].[Month].&amp;[2024/Apr]","[Delivery Region].[DeliveryRegion]","[Delivery Region].[DeliveryRegion].&amp;[San Juan]")*1</f>
        <v>2.86</v>
      </c>
      <c r="F13" s="8">
        <f>GETPIVOTDATA("[Measures].[Price &amp; HeatRate]",'Lacima Data'!$A$11,"[Delivery Date].[Month]","[Delivery Date].[Month].&amp;[2024/May]","[Delivery Region].[DeliveryRegion]","[Delivery Region].[DeliveryRegion].&amp;[San Juan]")*1</f>
        <v>2.83</v>
      </c>
      <c r="G13" s="8">
        <f>GETPIVOTDATA("[Measures].[Price &amp; HeatRate]",'Lacima Data'!$A$11,"[Delivery Date].[Month]","[Delivery Date].[Month].&amp;[2024/Jun]","[Delivery Region].[DeliveryRegion]","[Delivery Region].[DeliveryRegion].&amp;[San Juan]")*1</f>
        <v>2.89</v>
      </c>
      <c r="H13" s="8">
        <f>GETPIVOTDATA("[Measures].[Price &amp; HeatRate]",'Lacima Data'!$A$11,"[Delivery Date].[Month]","[Delivery Date].[Month].&amp;[2024/Jul]","[Delivery Region].[DeliveryRegion]","[Delivery Region].[DeliveryRegion].&amp;[San Juan]")*1</f>
        <v>3.32</v>
      </c>
      <c r="I13" s="8">
        <f>GETPIVOTDATA("[Measures].[Price &amp; HeatRate]",'Lacima Data'!$A$11,"[Delivery Date].[Month]","[Delivery Date].[Month].&amp;[2024/Aug]","[Delivery Region].[DeliveryRegion]","[Delivery Region].[DeliveryRegion].&amp;[San Juan]")*1</f>
        <v>3.36</v>
      </c>
      <c r="J13" s="8">
        <f>GETPIVOTDATA("[Measures].[Price &amp; HeatRate]",'Lacima Data'!$A$11,"[Delivery Date].[Month]","[Delivery Date].[Month].&amp;[2024/Sep]","[Delivery Region].[DeliveryRegion]","[Delivery Region].[DeliveryRegion].&amp;[San Juan]")*1</f>
        <v>3.24</v>
      </c>
      <c r="K13" s="8">
        <f>GETPIVOTDATA("[Measures].[Price &amp; HeatRate]",'Lacima Data'!$A$11,"[Delivery Date].[Month]","[Delivery Date].[Month].&amp;[2024/Oct]","[Delivery Region].[DeliveryRegion]","[Delivery Region].[DeliveryRegion].&amp;[San Juan]")*1</f>
        <v>3.16</v>
      </c>
      <c r="L13" s="8">
        <f>GETPIVOTDATA("[Measures].[Price &amp; HeatRate]",'Lacima Data'!$A$11,"[Delivery Date].[Month]","[Delivery Date].[Month].&amp;[2024/Nov]","[Delivery Region].[DeliveryRegion]","[Delivery Region].[DeliveryRegion].&amp;[San Juan]")*1</f>
        <v>3.97</v>
      </c>
      <c r="M13" s="8">
        <f>GETPIVOTDATA("[Measures].[Price &amp; HeatRate]",'Lacima Data'!$A$11,"[Delivery Date].[Month]","[Delivery Date].[Month].&amp;[2024/Dec]","[Delivery Region].[DeliveryRegion]","[Delivery Region].[DeliveryRegion].&amp;[San Juan]")*1</f>
        <v>5.26</v>
      </c>
      <c r="N13" s="9">
        <f t="shared" si="0"/>
        <v>3.8449999999999993</v>
      </c>
    </row>
    <row r="14" spans="1:14">
      <c r="A14" s="6" t="s">
        <v>4</v>
      </c>
      <c r="B14" s="8">
        <f>GETPIVOTDATA("[Measures].[Price &amp; HeatRate]",'Lacima Data'!$A$11,"[Delivery Date].[Month]","[Delivery Date].[Month].&amp;[2024/Jan]","[Delivery Region].[DeliveryRegion]","[Delivery Region].[DeliveryRegion].&amp;[Malin]")*1</f>
        <v>7.28</v>
      </c>
      <c r="C14" s="8">
        <f>GETPIVOTDATA("[Measures].[Price &amp; HeatRate]",'Lacima Data'!$A$11,"[Delivery Date].[Month]","[Delivery Date].[Month].&amp;[2024/Feb]","[Delivery Region].[DeliveryRegion]","[Delivery Region].[DeliveryRegion].&amp;[Malin]")*1</f>
        <v>6.74</v>
      </c>
      <c r="D14" s="8">
        <f>GETPIVOTDATA("[Measures].[Price &amp; HeatRate]",'Lacima Data'!$A$11,"[Delivery Date].[Month]","[Delivery Date].[Month].&amp;[2024/Mar]","[Delivery Region].[DeliveryRegion]","[Delivery Region].[DeliveryRegion].&amp;[Malin]")*1</f>
        <v>4.0599999999999996</v>
      </c>
      <c r="E14" s="8">
        <f>GETPIVOTDATA("[Measures].[Price &amp; HeatRate]",'Lacima Data'!$A$11,"[Delivery Date].[Month]","[Delivery Date].[Month].&amp;[2024/Apr]","[Delivery Region].[DeliveryRegion]","[Delivery Region].[DeliveryRegion].&amp;[Malin]")*1</f>
        <v>3.3</v>
      </c>
      <c r="F14" s="8">
        <f>GETPIVOTDATA("[Measures].[Price &amp; HeatRate]",'Lacima Data'!$A$11,"[Delivery Date].[Month]","[Delivery Date].[Month].&amp;[2024/May]","[Delivery Region].[DeliveryRegion]","[Delivery Region].[DeliveryRegion].&amp;[Malin]")*1</f>
        <v>2.94</v>
      </c>
      <c r="G14" s="8">
        <f>GETPIVOTDATA("[Measures].[Price &amp; HeatRate]",'Lacima Data'!$A$11,"[Delivery Date].[Month]","[Delivery Date].[Month].&amp;[2024/Jun]","[Delivery Region].[DeliveryRegion]","[Delivery Region].[DeliveryRegion].&amp;[Malin]")*1</f>
        <v>3.07</v>
      </c>
      <c r="H14" s="8">
        <f>GETPIVOTDATA("[Measures].[Price &amp; HeatRate]",'Lacima Data'!$A$11,"[Delivery Date].[Month]","[Delivery Date].[Month].&amp;[2024/Jul]","[Delivery Region].[DeliveryRegion]","[Delivery Region].[DeliveryRegion].&amp;[Malin]")*1</f>
        <v>3.53</v>
      </c>
      <c r="I14" s="8">
        <f>GETPIVOTDATA("[Measures].[Price &amp; HeatRate]",'Lacima Data'!$A$11,"[Delivery Date].[Month]","[Delivery Date].[Month].&amp;[2024/Aug]","[Delivery Region].[DeliveryRegion]","[Delivery Region].[DeliveryRegion].&amp;[Malin]")*1</f>
        <v>3.58</v>
      </c>
      <c r="J14" s="8">
        <f>GETPIVOTDATA("[Measures].[Price &amp; HeatRate]",'Lacima Data'!$A$11,"[Delivery Date].[Month]","[Delivery Date].[Month].&amp;[2024/Sep]","[Delivery Region].[DeliveryRegion]","[Delivery Region].[DeliveryRegion].&amp;[Malin]")*1</f>
        <v>3.52</v>
      </c>
      <c r="K14" s="8">
        <f>GETPIVOTDATA("[Measures].[Price &amp; HeatRate]",'Lacima Data'!$A$11,"[Delivery Date].[Month]","[Delivery Date].[Month].&amp;[2024/Oct]","[Delivery Region].[DeliveryRegion]","[Delivery Region].[DeliveryRegion].&amp;[Malin]")*1</f>
        <v>3.39</v>
      </c>
      <c r="L14" s="8">
        <f>GETPIVOTDATA("[Measures].[Price &amp; HeatRate]",'Lacima Data'!$A$11,"[Delivery Date].[Month]","[Delivery Date].[Month].&amp;[2024/Nov]","[Delivery Region].[DeliveryRegion]","[Delivery Region].[DeliveryRegion].&amp;[Malin]")*1</f>
        <v>4.3</v>
      </c>
      <c r="M14" s="8">
        <f>GETPIVOTDATA("[Measures].[Price &amp; HeatRate]",'Lacima Data'!$A$11,"[Delivery Date].[Month]","[Delivery Date].[Month].&amp;[2024/Dec]","[Delivery Region].[DeliveryRegion]","[Delivery Region].[DeliveryRegion].&amp;[Malin]")*1</f>
        <v>6.06</v>
      </c>
      <c r="N14" s="9">
        <f t="shared" si="0"/>
        <v>4.3141666666666669</v>
      </c>
    </row>
    <row r="15" spans="1:14">
      <c r="A15" s="6" t="s">
        <v>21</v>
      </c>
      <c r="B15" s="8">
        <f>GETPIVOTDATA("[Measures].[Price &amp; HeatRate]",'Lacima Data'!$A$11,"[Delivery Date].[Month]","[Delivery Date].[Month].&amp;[2024/Jan]","[Delivery Region].[DeliveryRegion]","[Delivery Region].[DeliveryRegion].&amp;[Rockies]")*1</f>
        <v>7.4</v>
      </c>
      <c r="C15" s="8">
        <f>GETPIVOTDATA("[Measures].[Price &amp; HeatRate]",'Lacima Data'!$A$11,"[Delivery Date].[Month]","[Delivery Date].[Month].&amp;[2024/Feb]","[Delivery Region].[DeliveryRegion]","[Delivery Region].[DeliveryRegion].&amp;[Rockies]")*1</f>
        <v>6.85</v>
      </c>
      <c r="D15" s="8">
        <f>GETPIVOTDATA("[Measures].[Price &amp; HeatRate]",'Lacima Data'!$A$11,"[Delivery Date].[Month]","[Delivery Date].[Month].&amp;[2024/Mar]","[Delivery Region].[DeliveryRegion]","[Delivery Region].[DeliveryRegion].&amp;[Rockies]")*1</f>
        <v>4.04</v>
      </c>
      <c r="E15" s="8">
        <f>GETPIVOTDATA("[Measures].[Price &amp; HeatRate]",'Lacima Data'!$A$11,"[Delivery Date].[Month]","[Delivery Date].[Month].&amp;[2024/Apr]","[Delivery Region].[DeliveryRegion]","[Delivery Region].[DeliveryRegion].&amp;[Rockies]")*1</f>
        <v>3.29</v>
      </c>
      <c r="F15" s="8">
        <f>GETPIVOTDATA("[Measures].[Price &amp; HeatRate]",'Lacima Data'!$A$11,"[Delivery Date].[Month]","[Delivery Date].[Month].&amp;[2024/May]","[Delivery Region].[DeliveryRegion]","[Delivery Region].[DeliveryRegion].&amp;[Rockies]")*1</f>
        <v>2.9</v>
      </c>
      <c r="G15" s="8">
        <f>GETPIVOTDATA("[Measures].[Price &amp; HeatRate]",'Lacima Data'!$A$11,"[Delivery Date].[Month]","[Delivery Date].[Month].&amp;[2024/Jun]","[Delivery Region].[DeliveryRegion]","[Delivery Region].[DeliveryRegion].&amp;[Rockies]")*1</f>
        <v>3.05</v>
      </c>
      <c r="H15" s="8">
        <f>GETPIVOTDATA("[Measures].[Price &amp; HeatRate]",'Lacima Data'!$A$11,"[Delivery Date].[Month]","[Delivery Date].[Month].&amp;[2024/Jul]","[Delivery Region].[DeliveryRegion]","[Delivery Region].[DeliveryRegion].&amp;[Rockies]")*1</f>
        <v>3.43</v>
      </c>
      <c r="I15" s="8">
        <f>GETPIVOTDATA("[Measures].[Price &amp; HeatRate]",'Lacima Data'!$A$11,"[Delivery Date].[Month]","[Delivery Date].[Month].&amp;[2024/Aug]","[Delivery Region].[DeliveryRegion]","[Delivery Region].[DeliveryRegion].&amp;[Rockies]")*1</f>
        <v>3.49</v>
      </c>
      <c r="J15" s="8">
        <f>GETPIVOTDATA("[Measures].[Price &amp; HeatRate]",'Lacima Data'!$A$11,"[Delivery Date].[Month]","[Delivery Date].[Month].&amp;[2024/Sep]","[Delivery Region].[DeliveryRegion]","[Delivery Region].[DeliveryRegion].&amp;[Rockies]")*1</f>
        <v>3.38</v>
      </c>
      <c r="K15" s="8">
        <f>GETPIVOTDATA("[Measures].[Price &amp; HeatRate]",'Lacima Data'!$A$11,"[Delivery Date].[Month]","[Delivery Date].[Month].&amp;[2024/Oct]","[Delivery Region].[DeliveryRegion]","[Delivery Region].[DeliveryRegion].&amp;[Rockies]")*1</f>
        <v>3.26</v>
      </c>
      <c r="L15" s="8">
        <f>GETPIVOTDATA("[Measures].[Price &amp; HeatRate]",'Lacima Data'!$A$11,"[Delivery Date].[Month]","[Delivery Date].[Month].&amp;[2024/Nov]","[Delivery Region].[DeliveryRegion]","[Delivery Region].[DeliveryRegion].&amp;[Rockies]")*1</f>
        <v>4.29</v>
      </c>
      <c r="M15" s="8">
        <f>GETPIVOTDATA("[Measures].[Price &amp; HeatRate]",'Lacima Data'!$A$11,"[Delivery Date].[Month]","[Delivery Date].[Month].&amp;[2024/Dec]","[Delivery Region].[DeliveryRegion]","[Delivery Region].[DeliveryRegion].&amp;[Rockies]")*1</f>
        <v>6.19</v>
      </c>
      <c r="N15" s="9">
        <f t="shared" si="0"/>
        <v>4.2974999999999994</v>
      </c>
    </row>
    <row r="16" spans="1:14">
      <c r="A16" s="6" t="s">
        <v>6</v>
      </c>
      <c r="B16" s="8">
        <f>GETPIVOTDATA("[Measures].[Price &amp; HeatRate]",'Lacima Data'!$A$11,"[Delivery Date].[Month]","[Delivery Date].[Month].&amp;[2024/Jan]","[Delivery Region].[DeliveryRegion]","[Delivery Region].[DeliveryRegion].&amp;[Nymex (HH)]")*1</f>
        <v>3.81</v>
      </c>
      <c r="C16" s="8">
        <f>GETPIVOTDATA("[Measures].[Price &amp; HeatRate]",'Lacima Data'!$A$11,"[Delivery Date].[Month]","[Delivery Date].[Month].&amp;[2024/Feb]","[Delivery Region].[DeliveryRegion]","[Delivery Region].[DeliveryRegion].&amp;[Nymex (HH)]")*1</f>
        <v>3.73</v>
      </c>
      <c r="D16" s="8">
        <f>GETPIVOTDATA("[Measures].[Price &amp; HeatRate]",'Lacima Data'!$A$11,"[Delivery Date].[Month]","[Delivery Date].[Month].&amp;[2024/Mar]","[Delivery Region].[DeliveryRegion]","[Delivery Region].[DeliveryRegion].&amp;[Nymex (HH)]")*1</f>
        <v>3.45</v>
      </c>
      <c r="E16" s="8">
        <f>GETPIVOTDATA("[Measures].[Price &amp; HeatRate]",'Lacima Data'!$A$11,"[Delivery Date].[Month]","[Delivery Date].[Month].&amp;[2024/Apr]","[Delivery Region].[DeliveryRegion]","[Delivery Region].[DeliveryRegion].&amp;[Nymex (HH)]")*1</f>
        <v>3.15</v>
      </c>
      <c r="F16" s="8">
        <f>GETPIVOTDATA("[Measures].[Price &amp; HeatRate]",'Lacima Data'!$A$11,"[Delivery Date].[Month]","[Delivery Date].[Month].&amp;[2024/May]","[Delivery Region].[DeliveryRegion]","[Delivery Region].[DeliveryRegion].&amp;[Nymex (HH)]")*1</f>
        <v>3.13</v>
      </c>
      <c r="G16" s="8">
        <f>GETPIVOTDATA("[Measures].[Price &amp; HeatRate]",'Lacima Data'!$A$11,"[Delivery Date].[Month]","[Delivery Date].[Month].&amp;[2024/Jun]","[Delivery Region].[DeliveryRegion]","[Delivery Region].[DeliveryRegion].&amp;[Nymex (HH)]")*1</f>
        <v>3.23</v>
      </c>
      <c r="H16" s="8">
        <f>GETPIVOTDATA("[Measures].[Price &amp; HeatRate]",'Lacima Data'!$A$11,"[Delivery Date].[Month]","[Delivery Date].[Month].&amp;[2024/Jul]","[Delivery Region].[DeliveryRegion]","[Delivery Region].[DeliveryRegion].&amp;[Nymex (HH)]")*1</f>
        <v>3.33</v>
      </c>
      <c r="I16" s="8">
        <f>GETPIVOTDATA("[Measures].[Price &amp; HeatRate]",'Lacima Data'!$A$11,"[Delivery Date].[Month]","[Delivery Date].[Month].&amp;[2024/Aug]","[Delivery Region].[DeliveryRegion]","[Delivery Region].[DeliveryRegion].&amp;[Nymex (HH)]")*1</f>
        <v>3.38</v>
      </c>
      <c r="J16" s="8">
        <f>GETPIVOTDATA("[Measures].[Price &amp; HeatRate]",'Lacima Data'!$A$11,"[Delivery Date].[Month]","[Delivery Date].[Month].&amp;[2024/Sep]","[Delivery Region].[DeliveryRegion]","[Delivery Region].[DeliveryRegion].&amp;[Nymex (HH)]")*1</f>
        <v>3.35</v>
      </c>
      <c r="K16" s="8">
        <f>GETPIVOTDATA("[Measures].[Price &amp; HeatRate]",'Lacima Data'!$A$11,"[Delivery Date].[Month]","[Delivery Date].[Month].&amp;[2024/Oct]","[Delivery Region].[DeliveryRegion]","[Delivery Region].[DeliveryRegion].&amp;[Nymex (HH)]")*1</f>
        <v>3.43</v>
      </c>
      <c r="L16" s="8">
        <f>GETPIVOTDATA("[Measures].[Price &amp; HeatRate]",'Lacima Data'!$A$11,"[Delivery Date].[Month]","[Delivery Date].[Month].&amp;[2024/Nov]","[Delivery Region].[DeliveryRegion]","[Delivery Region].[DeliveryRegion].&amp;[Nymex (HH)]")*1</f>
        <v>3.79</v>
      </c>
      <c r="M16" s="8">
        <f>GETPIVOTDATA("[Measures].[Price &amp; HeatRate]",'Lacima Data'!$A$11,"[Delivery Date].[Month]","[Delivery Date].[Month].&amp;[2024/Dec]","[Delivery Region].[DeliveryRegion]","[Delivery Region].[DeliveryRegion].&amp;[Nymex (HH)]")*1</f>
        <v>4.22</v>
      </c>
      <c r="N16" s="9">
        <f t="shared" si="0"/>
        <v>3.5</v>
      </c>
    </row>
    <row r="17" spans="1:19">
      <c r="A17" s="6" t="s">
        <v>107</v>
      </c>
      <c r="B17" s="8">
        <f>GETPIVOTDATA("[Measures].[Price &amp; HeatRate]",'Lacima Data'!$A$11,"[Delivery Date].[Month]","[Delivery Date].[Month].&amp;[2024/Jan]","[Delivery Region].[DeliveryRegion]","[Delivery Region].[DeliveryRegion].&amp;[Station2]")*1</f>
        <v>2.5499999999999998</v>
      </c>
      <c r="C17" s="8">
        <f>GETPIVOTDATA("[Measures].[Price &amp; HeatRate]",'Lacima Data'!$A$11,"[Delivery Date].[Month]","[Delivery Date].[Month].&amp;[2024/Feb]","[Delivery Region].[DeliveryRegion]","[Delivery Region].[DeliveryRegion].&amp;[Station2]")*1</f>
        <v>2.5299999999999998</v>
      </c>
      <c r="D17" s="8">
        <f>GETPIVOTDATA("[Measures].[Price &amp; HeatRate]",'Lacima Data'!$A$11,"[Delivery Date].[Month]","[Delivery Date].[Month].&amp;[2024/Mar]","[Delivery Region].[DeliveryRegion]","[Delivery Region].[DeliveryRegion].&amp;[Station2]")*1</f>
        <v>2.33</v>
      </c>
      <c r="E17" s="8">
        <f>GETPIVOTDATA("[Measures].[Price &amp; HeatRate]",'Lacima Data'!$A$11,"[Delivery Date].[Month]","[Delivery Date].[Month].&amp;[2024/Apr]","[Delivery Region].[DeliveryRegion]","[Delivery Region].[DeliveryRegion].&amp;[Station2]")*1</f>
        <v>1.68</v>
      </c>
      <c r="F17" s="8">
        <f>GETPIVOTDATA("[Measures].[Price &amp; HeatRate]",'Lacima Data'!$A$11,"[Delivery Date].[Month]","[Delivery Date].[Month].&amp;[2024/May]","[Delivery Region].[DeliveryRegion]","[Delivery Region].[DeliveryRegion].&amp;[Station2]")*1</f>
        <v>1.58</v>
      </c>
      <c r="G17" s="8">
        <f>GETPIVOTDATA("[Measures].[Price &amp; HeatRate]",'Lacima Data'!$A$11,"[Delivery Date].[Month]","[Delivery Date].[Month].&amp;[2024/Jun]","[Delivery Region].[DeliveryRegion]","[Delivery Region].[DeliveryRegion].&amp;[Station2]")*1</f>
        <v>1.53</v>
      </c>
      <c r="H17" s="8">
        <f>GETPIVOTDATA("[Measures].[Price &amp; HeatRate]",'Lacima Data'!$A$11,"[Delivery Date].[Month]","[Delivery Date].[Month].&amp;[2024/Jul]","[Delivery Region].[DeliveryRegion]","[Delivery Region].[DeliveryRegion].&amp;[Station2]")*1</f>
        <v>1.49</v>
      </c>
      <c r="I17" s="8">
        <f>GETPIVOTDATA("[Measures].[Price &amp; HeatRate]",'Lacima Data'!$A$11,"[Delivery Date].[Month]","[Delivery Date].[Month].&amp;[2024/Aug]","[Delivery Region].[DeliveryRegion]","[Delivery Region].[DeliveryRegion].&amp;[Station2]")*1</f>
        <v>1.5</v>
      </c>
      <c r="J17" s="8">
        <f>GETPIVOTDATA("[Measures].[Price &amp; HeatRate]",'Lacima Data'!$A$11,"[Delivery Date].[Month]","[Delivery Date].[Month].&amp;[2024/Sep]","[Delivery Region].[DeliveryRegion]","[Delivery Region].[DeliveryRegion].&amp;[Station2]")*1</f>
        <v>1.55</v>
      </c>
      <c r="K17" s="8">
        <f>GETPIVOTDATA("[Measures].[Price &amp; HeatRate]",'Lacima Data'!$A$11,"[Delivery Date].[Month]","[Delivery Date].[Month].&amp;[2024/Oct]","[Delivery Region].[DeliveryRegion]","[Delivery Region].[DeliveryRegion].&amp;[Station2]")*1</f>
        <v>1.71</v>
      </c>
      <c r="L17" s="8">
        <f>GETPIVOTDATA("[Measures].[Price &amp; HeatRate]",'Lacima Data'!$A$11,"[Delivery Date].[Month]","[Delivery Date].[Month].&amp;[2024/Nov]","[Delivery Region].[DeliveryRegion]","[Delivery Region].[DeliveryRegion].&amp;[Station2]")*1</f>
        <v>2.61</v>
      </c>
      <c r="M17" s="8">
        <f>GETPIVOTDATA("[Measures].[Price &amp; HeatRate]",'Lacima Data'!$A$11,"[Delivery Date].[Month]","[Delivery Date].[Month].&amp;[2024/Dec]","[Delivery Region].[DeliveryRegion]","[Delivery Region].[DeliveryRegion].&amp;[Station2]")*1</f>
        <v>2.94</v>
      </c>
      <c r="N17" s="9">
        <f t="shared" si="0"/>
        <v>2</v>
      </c>
    </row>
    <row r="18" spans="1:19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9">
      <c r="A19" s="6" t="s">
        <v>24</v>
      </c>
      <c r="B19" s="11">
        <v>2020</v>
      </c>
    </row>
    <row r="20" spans="1:19">
      <c r="A20" s="6" t="s">
        <v>61</v>
      </c>
      <c r="B20" s="12">
        <v>2.5000000000000001E-2</v>
      </c>
    </row>
    <row r="21" spans="1:19" ht="60">
      <c r="A21" s="3" t="str">
        <f>"Prices in "&amp;$B$19&amp;" dollars ($/MMBtu)"</f>
        <v>Prices in 2020 dollars ($/MMBtu)</v>
      </c>
      <c r="B21" s="7">
        <f t="shared" ref="B21:M21" si="1">B6</f>
        <v>45292</v>
      </c>
      <c r="C21" s="7">
        <f t="shared" si="1"/>
        <v>45323</v>
      </c>
      <c r="D21" s="7">
        <f t="shared" si="1"/>
        <v>45352</v>
      </c>
      <c r="E21" s="7">
        <f t="shared" si="1"/>
        <v>45383</v>
      </c>
      <c r="F21" s="7">
        <f t="shared" si="1"/>
        <v>45413</v>
      </c>
      <c r="G21" s="7">
        <f t="shared" si="1"/>
        <v>45444</v>
      </c>
      <c r="H21" s="7">
        <f t="shared" si="1"/>
        <v>45474</v>
      </c>
      <c r="I21" s="7">
        <f t="shared" si="1"/>
        <v>45505</v>
      </c>
      <c r="J21" s="7">
        <f t="shared" si="1"/>
        <v>45536</v>
      </c>
      <c r="K21" s="7">
        <f t="shared" si="1"/>
        <v>45566</v>
      </c>
      <c r="L21" s="7">
        <f t="shared" si="1"/>
        <v>45597</v>
      </c>
      <c r="M21" s="7">
        <f t="shared" si="1"/>
        <v>45627</v>
      </c>
      <c r="N21" s="120" t="s">
        <v>468</v>
      </c>
    </row>
    <row r="22" spans="1:19">
      <c r="A22" s="6" t="s">
        <v>0</v>
      </c>
      <c r="B22" s="8">
        <f t="shared" ref="B22:M22" si="2">B7/(1+$B$20)^(YEAR(B$21)-$B$19)</f>
        <v>9.3403511478854746</v>
      </c>
      <c r="C22" s="8">
        <f t="shared" si="2"/>
        <v>7.9451871548938513</v>
      </c>
      <c r="D22" s="8">
        <f t="shared" si="2"/>
        <v>4.7653003916467114</v>
      </c>
      <c r="E22" s="8">
        <f t="shared" si="2"/>
        <v>2.8356255182232331</v>
      </c>
      <c r="F22" s="8">
        <f t="shared" si="2"/>
        <v>2.3464121700313654</v>
      </c>
      <c r="G22" s="8">
        <f t="shared" si="2"/>
        <v>2.5004237796473237</v>
      </c>
      <c r="H22" s="8">
        <f t="shared" si="2"/>
        <v>3.0892916987671648</v>
      </c>
      <c r="I22" s="8">
        <f t="shared" si="2"/>
        <v>3.2433033083831231</v>
      </c>
      <c r="J22" s="8">
        <f t="shared" si="2"/>
        <v>3.0802321923191669</v>
      </c>
      <c r="K22" s="8">
        <f t="shared" si="2"/>
        <v>2.9986966342871892</v>
      </c>
      <c r="L22" s="8">
        <f t="shared" si="2"/>
        <v>5.2545137398385791</v>
      </c>
      <c r="M22" s="8">
        <f t="shared" si="2"/>
        <v>7.1298315745740721</v>
      </c>
      <c r="N22" s="9">
        <f t="shared" ref="N22:N31" si="3">AVERAGE(B22:M22)</f>
        <v>4.544097442541438</v>
      </c>
    </row>
    <row r="23" spans="1:19">
      <c r="A23" s="6" t="s">
        <v>1</v>
      </c>
      <c r="B23" s="8">
        <f t="shared" ref="B23:M23" si="4">B8/(1+$B$20)^(YEAR(B$21)-$B$19)</f>
        <v>2.418888221615346</v>
      </c>
      <c r="C23" s="8">
        <f t="shared" si="4"/>
        <v>2.3917097022713532</v>
      </c>
      <c r="D23" s="8">
        <f t="shared" si="4"/>
        <v>2.2195790797593999</v>
      </c>
      <c r="E23" s="8">
        <f t="shared" si="4"/>
        <v>2.0474484572474463</v>
      </c>
      <c r="F23" s="8">
        <f t="shared" si="4"/>
        <v>1.9477938863194733</v>
      </c>
      <c r="G23" s="8">
        <f t="shared" si="4"/>
        <v>1.9024963540794857</v>
      </c>
      <c r="H23" s="8">
        <f t="shared" si="4"/>
        <v>1.8571988218394977</v>
      </c>
      <c r="I23" s="8">
        <f t="shared" si="4"/>
        <v>1.8843773411834905</v>
      </c>
      <c r="J23" s="8">
        <f t="shared" si="4"/>
        <v>1.9206153669754806</v>
      </c>
      <c r="K23" s="8">
        <f t="shared" si="4"/>
        <v>2.0746269765914391</v>
      </c>
      <c r="L23" s="8">
        <f t="shared" si="4"/>
        <v>2.4732452603033312</v>
      </c>
      <c r="M23" s="8">
        <f t="shared" si="4"/>
        <v>2.7722089730872503</v>
      </c>
      <c r="N23" s="9">
        <f t="shared" si="3"/>
        <v>2.1591823701060826</v>
      </c>
    </row>
    <row r="24" spans="1:19">
      <c r="A24" s="6" t="s">
        <v>2</v>
      </c>
      <c r="B24" s="8">
        <f t="shared" ref="B24:M24" si="5">B9/(1+$B$20)^(YEAR(B$21)-$B$19)</f>
        <v>6.5772016812462208</v>
      </c>
      <c r="C24" s="8">
        <f t="shared" si="5"/>
        <v>6.097047839502352</v>
      </c>
      <c r="D24" s="8">
        <f t="shared" si="5"/>
        <v>3.6962786307830005</v>
      </c>
      <c r="E24" s="8">
        <f t="shared" si="5"/>
        <v>2.844685024671231</v>
      </c>
      <c r="F24" s="8">
        <f t="shared" si="5"/>
        <v>2.5276022989913165</v>
      </c>
      <c r="G24" s="8">
        <f t="shared" si="5"/>
        <v>2.6363163763672874</v>
      </c>
      <c r="H24" s="8">
        <f t="shared" si="5"/>
        <v>3.0439941665271766</v>
      </c>
      <c r="I24" s="8">
        <f t="shared" si="5"/>
        <v>3.0983512052151623</v>
      </c>
      <c r="J24" s="8">
        <f t="shared" si="5"/>
        <v>3.0439941665271766</v>
      </c>
      <c r="K24" s="8">
        <f t="shared" si="5"/>
        <v>2.9262205827032086</v>
      </c>
      <c r="L24" s="8">
        <f t="shared" si="5"/>
        <v>3.8684092532949537</v>
      </c>
      <c r="M24" s="8">
        <f t="shared" si="5"/>
        <v>5.4447633752465272</v>
      </c>
      <c r="N24" s="9">
        <f t="shared" si="3"/>
        <v>3.8170720500896351</v>
      </c>
    </row>
    <row r="25" spans="1:19">
      <c r="A25" s="6" t="s">
        <v>7</v>
      </c>
      <c r="B25" s="8">
        <f t="shared" ref="B25:M25" si="6">B10/(1+$B$20)^(YEAR(B$21)-$B$19)</f>
        <v>6.3574355893464096</v>
      </c>
      <c r="C25" s="8">
        <f t="shared" si="6"/>
        <v>5.9920546308460949</v>
      </c>
      <c r="D25" s="8">
        <f t="shared" si="6"/>
        <v>3.5585643913686549</v>
      </c>
      <c r="E25" s="8">
        <f t="shared" si="6"/>
        <v>2.7584687216411212</v>
      </c>
      <c r="F25" s="8">
        <f t="shared" si="6"/>
        <v>2.4044222355128975</v>
      </c>
      <c r="G25" s="8">
        <f t="shared" si="6"/>
        <v>2.4193411969377454</v>
      </c>
      <c r="H25" s="8">
        <f t="shared" si="6"/>
        <v>2.6303254124258695</v>
      </c>
      <c r="I25" s="8">
        <f t="shared" si="6"/>
        <v>3.0261673957746642</v>
      </c>
      <c r="J25" s="8">
        <f t="shared" si="6"/>
        <v>2.4442548396697394</v>
      </c>
      <c r="K25" s="8">
        <f t="shared" si="6"/>
        <v>2.8609044636345815</v>
      </c>
      <c r="L25" s="8">
        <f t="shared" si="6"/>
        <v>3.6440354769328835</v>
      </c>
      <c r="M25" s="8">
        <f t="shared" si="6"/>
        <v>5.3508075261164887</v>
      </c>
      <c r="N25" s="9">
        <f t="shared" si="3"/>
        <v>3.6205651566839294</v>
      </c>
    </row>
    <row r="26" spans="1:19">
      <c r="A26" s="6" t="s">
        <v>22</v>
      </c>
      <c r="B26" s="8">
        <f t="shared" ref="B26:M26" si="7">B11/(1+$B$20)^(YEAR(B$21)-$B$19)</f>
        <v>6.9305224327181261</v>
      </c>
      <c r="C26" s="8">
        <f t="shared" si="7"/>
        <v>6.4866066167662462</v>
      </c>
      <c r="D26" s="8">
        <f t="shared" si="7"/>
        <v>4.6928243400627307</v>
      </c>
      <c r="E26" s="8">
        <f t="shared" si="7"/>
        <v>3.9771233306709242</v>
      </c>
      <c r="F26" s="8">
        <f t="shared" si="7"/>
        <v>3.886528266190949</v>
      </c>
      <c r="G26" s="8">
        <f t="shared" si="7"/>
        <v>4.0405398758069078</v>
      </c>
      <c r="H26" s="8">
        <f t="shared" si="7"/>
        <v>4.430098653070802</v>
      </c>
      <c r="I26" s="8">
        <f t="shared" si="7"/>
        <v>4.5116342111027805</v>
      </c>
      <c r="J26" s="8">
        <f t="shared" si="7"/>
        <v>4.4482176659667969</v>
      </c>
      <c r="K26" s="8">
        <f t="shared" si="7"/>
        <v>4.3576226014868213</v>
      </c>
      <c r="L26" s="8">
        <f t="shared" si="7"/>
        <v>4.9011929883666747</v>
      </c>
      <c r="M26" s="8">
        <f t="shared" si="7"/>
        <v>5.8524411654064172</v>
      </c>
      <c r="N26" s="9">
        <f t="shared" si="3"/>
        <v>4.8762793456346811</v>
      </c>
    </row>
    <row r="27" spans="1:19">
      <c r="A27" s="6" t="s">
        <v>23</v>
      </c>
      <c r="B27" s="8">
        <f t="shared" ref="B27:M27" si="8">B12/(1+$B$20)^(YEAR(B$21)-$B$19)</f>
        <v>7.0120579907501037</v>
      </c>
      <c r="C27" s="8">
        <f t="shared" si="8"/>
        <v>6.2872974749103001</v>
      </c>
      <c r="D27" s="8">
        <f t="shared" si="8"/>
        <v>3.8140522146069684</v>
      </c>
      <c r="E27" s="8">
        <f t="shared" si="8"/>
        <v>3.0349346600791796</v>
      </c>
      <c r="F27" s="8">
        <f t="shared" si="8"/>
        <v>2.7993874924312427</v>
      </c>
      <c r="G27" s="8">
        <f t="shared" si="8"/>
        <v>3.0802321923191669</v>
      </c>
      <c r="H27" s="8">
        <f t="shared" si="8"/>
        <v>4.4753961853107898</v>
      </c>
      <c r="I27" s="8">
        <f t="shared" si="8"/>
        <v>4.5569317433427683</v>
      </c>
      <c r="J27" s="8">
        <f t="shared" si="8"/>
        <v>4.4663366788627918</v>
      </c>
      <c r="K27" s="8">
        <f t="shared" si="8"/>
        <v>3.3520173857590936</v>
      </c>
      <c r="L27" s="8">
        <f t="shared" si="8"/>
        <v>4.3485630950388243</v>
      </c>
      <c r="M27" s="8">
        <f t="shared" si="8"/>
        <v>6.0789288266063561</v>
      </c>
      <c r="N27" s="9">
        <f t="shared" si="3"/>
        <v>4.4421779950014662</v>
      </c>
    </row>
    <row r="28" spans="1:19">
      <c r="A28" s="6" t="s">
        <v>3</v>
      </c>
      <c r="B28" s="8">
        <f t="shared" ref="B28:M28" si="9">B13/(1+$B$20)^(YEAR(B$21)-$B$19)</f>
        <v>5.2726327527345749</v>
      </c>
      <c r="C28" s="8">
        <f t="shared" si="9"/>
        <v>5.1005021302226208</v>
      </c>
      <c r="D28" s="8">
        <f t="shared" si="9"/>
        <v>3.4426124502390687</v>
      </c>
      <c r="E28" s="8">
        <f t="shared" si="9"/>
        <v>2.5910188441272992</v>
      </c>
      <c r="F28" s="8">
        <f t="shared" si="9"/>
        <v>2.5638403247833068</v>
      </c>
      <c r="G28" s="8">
        <f t="shared" si="9"/>
        <v>2.6181973634712921</v>
      </c>
      <c r="H28" s="8">
        <f t="shared" si="9"/>
        <v>3.0077561407351867</v>
      </c>
      <c r="I28" s="8">
        <f t="shared" si="9"/>
        <v>3.0439941665271766</v>
      </c>
      <c r="J28" s="8">
        <f t="shared" si="9"/>
        <v>2.9352800891512065</v>
      </c>
      <c r="K28" s="8">
        <f t="shared" si="9"/>
        <v>2.8628040375672259</v>
      </c>
      <c r="L28" s="8">
        <f t="shared" si="9"/>
        <v>3.5966240598550274</v>
      </c>
      <c r="M28" s="8">
        <f t="shared" si="9"/>
        <v>4.7653003916467114</v>
      </c>
      <c r="N28" s="9">
        <f t="shared" si="3"/>
        <v>3.4833802292550575</v>
      </c>
    </row>
    <row r="29" spans="1:19">
      <c r="A29" s="6" t="s">
        <v>4</v>
      </c>
      <c r="B29" s="8">
        <f t="shared" ref="B29:M29" si="10">B14/(1+$B$20)^(YEAR(B$21)-$B$19)</f>
        <v>6.5953206941422167</v>
      </c>
      <c r="C29" s="8">
        <f t="shared" si="10"/>
        <v>6.106107345950349</v>
      </c>
      <c r="D29" s="8">
        <f t="shared" si="10"/>
        <v>3.6781596178870051</v>
      </c>
      <c r="E29" s="8">
        <f t="shared" si="10"/>
        <v>2.9896371278391913</v>
      </c>
      <c r="F29" s="8">
        <f t="shared" si="10"/>
        <v>2.6634948957112798</v>
      </c>
      <c r="G29" s="8">
        <f t="shared" si="10"/>
        <v>2.7812684795352478</v>
      </c>
      <c r="H29" s="8">
        <f t="shared" si="10"/>
        <v>3.1980057761431349</v>
      </c>
      <c r="I29" s="8">
        <f t="shared" si="10"/>
        <v>3.2433033083831231</v>
      </c>
      <c r="J29" s="8">
        <f t="shared" si="10"/>
        <v>3.1889462696951378</v>
      </c>
      <c r="K29" s="8">
        <f t="shared" si="10"/>
        <v>3.0711726858711694</v>
      </c>
      <c r="L29" s="8">
        <f t="shared" si="10"/>
        <v>3.8955877726389465</v>
      </c>
      <c r="M29" s="8">
        <f t="shared" si="10"/>
        <v>5.490060907486515</v>
      </c>
      <c r="N29" s="9">
        <f t="shared" si="3"/>
        <v>3.9084220734402764</v>
      </c>
    </row>
    <row r="30" spans="1:19">
      <c r="A30" s="6" t="s">
        <v>21</v>
      </c>
      <c r="B30" s="8">
        <f t="shared" ref="B30:M30" si="11">B15/(1+$B$20)^(YEAR(B$21)-$B$19)</f>
        <v>6.7040347715181872</v>
      </c>
      <c r="C30" s="8">
        <f t="shared" si="11"/>
        <v>6.2057619168783216</v>
      </c>
      <c r="D30" s="8">
        <f t="shared" si="11"/>
        <v>3.6600406049910101</v>
      </c>
      <c r="E30" s="8">
        <f t="shared" si="11"/>
        <v>2.9805776213911939</v>
      </c>
      <c r="F30" s="8">
        <f t="shared" si="11"/>
        <v>2.6272568699192895</v>
      </c>
      <c r="G30" s="8">
        <f t="shared" si="11"/>
        <v>2.7631494666392529</v>
      </c>
      <c r="H30" s="8">
        <f t="shared" si="11"/>
        <v>3.1074107116631597</v>
      </c>
      <c r="I30" s="8">
        <f t="shared" si="11"/>
        <v>3.1617677503511454</v>
      </c>
      <c r="J30" s="8">
        <f t="shared" si="11"/>
        <v>3.062113179423172</v>
      </c>
      <c r="K30" s="8">
        <f t="shared" si="11"/>
        <v>2.953399102047201</v>
      </c>
      <c r="L30" s="8">
        <f t="shared" si="11"/>
        <v>3.886528266190949</v>
      </c>
      <c r="M30" s="8">
        <f t="shared" si="11"/>
        <v>5.6078344913104843</v>
      </c>
      <c r="N30" s="9">
        <f t="shared" si="3"/>
        <v>3.8933228960269477</v>
      </c>
    </row>
    <row r="31" spans="1:19">
      <c r="A31" s="6" t="s">
        <v>6</v>
      </c>
      <c r="B31" s="8">
        <f t="shared" ref="B31:M31" si="12">B16/(1+$B$20)^(YEAR(B$21)-$B$19)</f>
        <v>3.4516719566870666</v>
      </c>
      <c r="C31" s="8">
        <f t="shared" si="12"/>
        <v>3.3791959051030864</v>
      </c>
      <c r="D31" s="8">
        <f t="shared" si="12"/>
        <v>3.1255297245591551</v>
      </c>
      <c r="E31" s="8">
        <f t="shared" si="12"/>
        <v>2.8537445311192284</v>
      </c>
      <c r="F31" s="8">
        <f t="shared" si="12"/>
        <v>2.8356255182232331</v>
      </c>
      <c r="G31" s="8">
        <f t="shared" si="12"/>
        <v>2.9262205827032086</v>
      </c>
      <c r="H31" s="8">
        <f t="shared" si="12"/>
        <v>3.0168156471831842</v>
      </c>
      <c r="I31" s="8">
        <f t="shared" si="12"/>
        <v>3.062113179423172</v>
      </c>
      <c r="J31" s="8">
        <f t="shared" si="12"/>
        <v>3.0349346600791796</v>
      </c>
      <c r="K31" s="8">
        <f t="shared" si="12"/>
        <v>3.1074107116631597</v>
      </c>
      <c r="L31" s="8">
        <f t="shared" si="12"/>
        <v>3.4335529437910717</v>
      </c>
      <c r="M31" s="8">
        <f t="shared" si="12"/>
        <v>3.8231117210549659</v>
      </c>
      <c r="N31" s="9">
        <f t="shared" si="3"/>
        <v>3.1708272567991425</v>
      </c>
    </row>
    <row r="32" spans="1:19">
      <c r="Q32" s="8"/>
      <c r="R32" s="8"/>
      <c r="S32" s="8"/>
    </row>
  </sheetData>
  <pageMargins left="0.7" right="0.7" top="0.75" bottom="0.75" header="0.3" footer="0.3"/>
  <pageSetup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0"/>
  <sheetViews>
    <sheetView topLeftCell="A12" zoomScale="80" zoomScaleNormal="80" workbookViewId="0">
      <selection activeCell="P25" sqref="P25"/>
    </sheetView>
  </sheetViews>
  <sheetFormatPr defaultColWidth="9.140625" defaultRowHeight="15"/>
  <cols>
    <col min="1" max="1" width="52.42578125" style="34" customWidth="1"/>
    <col min="2" max="2" width="11.85546875" style="34" customWidth="1"/>
    <col min="3" max="3" width="10.140625" style="34" customWidth="1"/>
    <col min="4" max="4" width="10.42578125" style="34" customWidth="1"/>
    <col min="5" max="5" width="10.140625" style="34" customWidth="1"/>
    <col min="6" max="6" width="8.85546875" style="34" customWidth="1"/>
    <col min="7" max="7" width="9" style="34" customWidth="1"/>
    <col min="8" max="8" width="9.85546875" style="34" customWidth="1"/>
    <col min="9" max="9" width="10.5703125" style="34" customWidth="1"/>
    <col min="10" max="10" width="9.7109375" style="34" customWidth="1"/>
    <col min="11" max="11" width="9.42578125" style="34" bestFit="1" customWidth="1"/>
    <col min="12" max="13" width="16.7109375" style="38" customWidth="1"/>
    <col min="14" max="16384" width="9.140625" style="34"/>
  </cols>
  <sheetData>
    <row r="1" spans="1:14" ht="18.75">
      <c r="A1" s="127" t="s">
        <v>53</v>
      </c>
    </row>
    <row r="2" spans="1:14" ht="15.75">
      <c r="A2" s="10" t="s">
        <v>1013</v>
      </c>
    </row>
    <row r="3" spans="1:14" ht="21">
      <c r="A3" s="23" t="s">
        <v>38</v>
      </c>
    </row>
    <row r="4" spans="1:14" ht="18.75">
      <c r="A4" s="13"/>
    </row>
    <row r="5" spans="1:14" ht="15.75" thickBot="1"/>
    <row r="6" spans="1:14" s="46" customFormat="1" ht="46.5" thickTop="1" thickBot="1">
      <c r="A6" s="126" t="s">
        <v>52</v>
      </c>
      <c r="B6" s="70"/>
      <c r="C6" s="71"/>
      <c r="D6" s="71"/>
      <c r="E6" s="71"/>
      <c r="F6" s="72"/>
      <c r="G6" s="72"/>
      <c r="H6" s="71"/>
      <c r="I6" s="72"/>
      <c r="J6" s="72"/>
      <c r="K6" s="73"/>
      <c r="L6" s="122" t="s">
        <v>1010</v>
      </c>
      <c r="M6" s="122" t="s">
        <v>797</v>
      </c>
      <c r="N6" s="26" t="s">
        <v>25</v>
      </c>
    </row>
    <row r="7" spans="1:14" s="38" customFormat="1" ht="15.75" thickTop="1">
      <c r="A7" s="50" t="s">
        <v>62</v>
      </c>
      <c r="B7" s="39"/>
      <c r="C7" s="61">
        <v>0</v>
      </c>
      <c r="D7" s="61">
        <v>0</v>
      </c>
      <c r="E7" s="63"/>
      <c r="F7" s="63"/>
      <c r="G7" s="63"/>
      <c r="H7" s="63"/>
      <c r="I7" s="63"/>
      <c r="J7" s="63"/>
      <c r="K7" s="41"/>
      <c r="L7" s="112">
        <v>0</v>
      </c>
      <c r="M7" s="112">
        <v>0</v>
      </c>
      <c r="N7" s="51">
        <f t="shared" ref="N7:N28" si="0">L7-M7</f>
        <v>0</v>
      </c>
    </row>
    <row r="8" spans="1:14" s="38" customFormat="1">
      <c r="A8" s="50" t="s">
        <v>63</v>
      </c>
      <c r="B8" s="39"/>
      <c r="C8" s="61">
        <v>0</v>
      </c>
      <c r="D8" s="61">
        <v>0</v>
      </c>
      <c r="E8" s="63"/>
      <c r="F8" s="63"/>
      <c r="G8" s="63"/>
      <c r="H8" s="63"/>
      <c r="I8" s="63"/>
      <c r="J8" s="63"/>
      <c r="K8" s="41"/>
      <c r="L8" s="113">
        <v>0</v>
      </c>
      <c r="M8" s="113">
        <v>0</v>
      </c>
      <c r="N8" s="52">
        <f t="shared" si="0"/>
        <v>0</v>
      </c>
    </row>
    <row r="9" spans="1:14" s="38" customFormat="1">
      <c r="A9" s="50" t="s">
        <v>64</v>
      </c>
      <c r="B9" s="39"/>
      <c r="C9" s="61">
        <v>0</v>
      </c>
      <c r="D9" s="61">
        <v>0</v>
      </c>
      <c r="E9" s="63"/>
      <c r="F9" s="63"/>
      <c r="G9" s="63"/>
      <c r="H9" s="63"/>
      <c r="I9" s="63"/>
      <c r="J9" s="63"/>
      <c r="K9" s="41"/>
      <c r="L9" s="113">
        <v>0</v>
      </c>
      <c r="M9" s="113">
        <v>0</v>
      </c>
      <c r="N9" s="52">
        <f t="shared" si="0"/>
        <v>0</v>
      </c>
    </row>
    <row r="10" spans="1:14" s="38" customFormat="1">
      <c r="A10" s="50" t="s">
        <v>65</v>
      </c>
      <c r="B10" s="39"/>
      <c r="C10" s="61">
        <v>0</v>
      </c>
      <c r="D10" s="61">
        <v>0</v>
      </c>
      <c r="E10" s="63"/>
      <c r="F10" s="63"/>
      <c r="G10" s="63"/>
      <c r="H10" s="63"/>
      <c r="I10" s="63"/>
      <c r="J10" s="63"/>
      <c r="K10" s="41"/>
      <c r="L10" s="113">
        <v>0</v>
      </c>
      <c r="M10" s="113">
        <v>0</v>
      </c>
      <c r="N10" s="52">
        <f t="shared" si="0"/>
        <v>0</v>
      </c>
    </row>
    <row r="11" spans="1:14" s="38" customFormat="1">
      <c r="A11" s="50" t="s">
        <v>66</v>
      </c>
      <c r="B11" s="39"/>
      <c r="C11" s="61">
        <v>0</v>
      </c>
      <c r="D11" s="61">
        <v>0</v>
      </c>
      <c r="E11" s="63"/>
      <c r="F11" s="63"/>
      <c r="G11" s="63"/>
      <c r="H11" s="63"/>
      <c r="I11" s="63"/>
      <c r="J11" s="63"/>
      <c r="K11" s="41"/>
      <c r="L11" s="113">
        <v>0</v>
      </c>
      <c r="M11" s="113">
        <v>0</v>
      </c>
      <c r="N11" s="52">
        <f t="shared" si="0"/>
        <v>0</v>
      </c>
    </row>
    <row r="12" spans="1:14" s="24" customFormat="1">
      <c r="A12" s="50" t="s">
        <v>67</v>
      </c>
      <c r="B12" s="39"/>
      <c r="C12" s="61">
        <v>0</v>
      </c>
      <c r="D12" s="61">
        <v>0</v>
      </c>
      <c r="E12" s="63"/>
      <c r="F12" s="63"/>
      <c r="G12" s="63"/>
      <c r="H12" s="63"/>
      <c r="I12" s="63"/>
      <c r="J12" s="63"/>
      <c r="K12" s="41"/>
      <c r="L12" s="113">
        <v>0</v>
      </c>
      <c r="M12" s="113">
        <v>0</v>
      </c>
      <c r="N12" s="52">
        <f t="shared" si="0"/>
        <v>0</v>
      </c>
    </row>
    <row r="13" spans="1:14" s="24" customFormat="1">
      <c r="A13" s="50" t="s">
        <v>68</v>
      </c>
      <c r="B13" s="39"/>
      <c r="C13" s="61">
        <v>0</v>
      </c>
      <c r="D13" s="61">
        <v>0</v>
      </c>
      <c r="E13" s="63"/>
      <c r="F13" s="63"/>
      <c r="G13" s="63"/>
      <c r="H13" s="63"/>
      <c r="I13" s="63"/>
      <c r="J13" s="63"/>
      <c r="K13" s="41"/>
      <c r="L13" s="113">
        <v>0</v>
      </c>
      <c r="M13" s="113">
        <v>0</v>
      </c>
      <c r="N13" s="52">
        <f t="shared" si="0"/>
        <v>0</v>
      </c>
    </row>
    <row r="14" spans="1:14" s="38" customFormat="1">
      <c r="A14" s="50" t="s">
        <v>70</v>
      </c>
      <c r="B14" s="39"/>
      <c r="C14" s="61"/>
      <c r="D14" s="61"/>
      <c r="E14" s="61">
        <v>0.1</v>
      </c>
      <c r="F14" s="61"/>
      <c r="G14" s="61"/>
      <c r="H14" s="61"/>
      <c r="I14" s="61"/>
      <c r="J14" s="61"/>
      <c r="K14" s="41"/>
      <c r="L14" s="113">
        <v>0.1</v>
      </c>
      <c r="M14" s="113">
        <v>0.1</v>
      </c>
      <c r="N14" s="52">
        <f t="shared" si="0"/>
        <v>0</v>
      </c>
    </row>
    <row r="15" spans="1:14" s="38" customFormat="1">
      <c r="A15" s="50" t="s">
        <v>69</v>
      </c>
      <c r="B15" s="39"/>
      <c r="C15" s="61"/>
      <c r="D15" s="61"/>
      <c r="E15" s="61"/>
      <c r="F15" s="61"/>
      <c r="G15" s="61"/>
      <c r="H15" s="61"/>
      <c r="I15" s="61"/>
      <c r="J15" s="61"/>
      <c r="K15" s="41"/>
      <c r="L15" s="113">
        <v>0</v>
      </c>
      <c r="M15" s="113">
        <v>0</v>
      </c>
      <c r="N15" s="52">
        <f t="shared" si="0"/>
        <v>0</v>
      </c>
    </row>
    <row r="16" spans="1:14" s="38" customFormat="1">
      <c r="A16" s="50" t="s">
        <v>70</v>
      </c>
      <c r="B16" s="39"/>
      <c r="C16" s="61"/>
      <c r="D16" s="61"/>
      <c r="E16" s="61"/>
      <c r="F16" s="61">
        <v>0.15618399999999999</v>
      </c>
      <c r="G16" s="61"/>
      <c r="H16" s="61"/>
      <c r="I16" s="61"/>
      <c r="J16" s="61"/>
      <c r="K16" s="41"/>
      <c r="L16" s="113">
        <v>0.15618399999999999</v>
      </c>
      <c r="M16" s="113">
        <v>0.15618399999999999</v>
      </c>
      <c r="N16" s="52">
        <f t="shared" si="0"/>
        <v>0</v>
      </c>
    </row>
    <row r="17" spans="1:15" s="38" customFormat="1">
      <c r="A17" s="50" t="s">
        <v>71</v>
      </c>
      <c r="B17" s="39"/>
      <c r="C17" s="61">
        <v>0.65910000000000002</v>
      </c>
      <c r="D17" s="61">
        <v>0.65910000000000002</v>
      </c>
      <c r="E17" s="61"/>
      <c r="F17" s="61"/>
      <c r="G17" s="61">
        <v>0.65910000000000002</v>
      </c>
      <c r="H17" s="61"/>
      <c r="I17" s="61"/>
      <c r="J17" s="61">
        <v>0.65910000000000002</v>
      </c>
      <c r="K17" s="41"/>
      <c r="L17" s="113">
        <v>0.65910000000000002</v>
      </c>
      <c r="M17" s="113">
        <v>0.65910000000000002</v>
      </c>
      <c r="N17" s="52">
        <f t="shared" si="0"/>
        <v>0</v>
      </c>
    </row>
    <row r="18" spans="1:15" s="38" customFormat="1">
      <c r="A18" s="50" t="s">
        <v>72</v>
      </c>
      <c r="B18" s="39"/>
      <c r="C18" s="61">
        <v>0.25919999999999999</v>
      </c>
      <c r="D18" s="61">
        <v>0.25919999999999999</v>
      </c>
      <c r="E18" s="61"/>
      <c r="F18" s="61"/>
      <c r="G18" s="61">
        <v>0.25919999999999999</v>
      </c>
      <c r="H18" s="61"/>
      <c r="I18" s="61"/>
      <c r="J18" s="61">
        <v>0.25919999999999999</v>
      </c>
      <c r="K18" s="41"/>
      <c r="L18" s="113">
        <v>0.25919999999999999</v>
      </c>
      <c r="M18" s="113">
        <v>0.25919999999999999</v>
      </c>
      <c r="N18" s="52">
        <f t="shared" si="0"/>
        <v>0</v>
      </c>
    </row>
    <row r="19" spans="1:15" s="38" customFormat="1">
      <c r="A19" s="50" t="s">
        <v>73</v>
      </c>
      <c r="B19" s="39"/>
      <c r="C19" s="61">
        <v>0.16919999999999999</v>
      </c>
      <c r="D19" s="61">
        <v>0.16919999999999999</v>
      </c>
      <c r="E19" s="61"/>
      <c r="F19" s="61"/>
      <c r="G19" s="61">
        <v>0.16919999999999999</v>
      </c>
      <c r="H19" s="61"/>
      <c r="I19" s="61"/>
      <c r="J19" s="61">
        <v>0.16919999999999999</v>
      </c>
      <c r="K19" s="41"/>
      <c r="L19" s="113">
        <v>0.16919999999999999</v>
      </c>
      <c r="M19" s="113">
        <v>0.16919999999999999</v>
      </c>
      <c r="N19" s="52">
        <f t="shared" si="0"/>
        <v>0</v>
      </c>
    </row>
    <row r="20" spans="1:15" s="38" customFormat="1">
      <c r="A20" s="50" t="s">
        <v>74</v>
      </c>
      <c r="B20" s="39"/>
      <c r="C20" s="61">
        <v>9.6000000000000002E-2</v>
      </c>
      <c r="D20" s="61">
        <v>9.6000000000000002E-2</v>
      </c>
      <c r="E20" s="61"/>
      <c r="F20" s="61"/>
      <c r="G20" s="61">
        <v>9.6000000000000002E-2</v>
      </c>
      <c r="H20" s="61"/>
      <c r="I20" s="61"/>
      <c r="J20" s="61">
        <v>9.6000000000000002E-2</v>
      </c>
      <c r="K20" s="41"/>
      <c r="L20" s="113">
        <v>9.6000000000000002E-2</v>
      </c>
      <c r="M20" s="113">
        <v>9.6000000000000002E-2</v>
      </c>
      <c r="N20" s="52">
        <f t="shared" si="0"/>
        <v>0</v>
      </c>
    </row>
    <row r="21" spans="1:15" s="38" customFormat="1">
      <c r="A21" s="50" t="s">
        <v>75</v>
      </c>
      <c r="B21" s="39"/>
      <c r="C21" s="61">
        <v>4.3E-3</v>
      </c>
      <c r="D21" s="61">
        <v>4.3E-3</v>
      </c>
      <c r="E21" s="61"/>
      <c r="F21" s="61"/>
      <c r="G21" s="61">
        <v>4.3E-3</v>
      </c>
      <c r="H21" s="61"/>
      <c r="I21" s="61"/>
      <c r="J21" s="61">
        <v>4.3E-3</v>
      </c>
      <c r="K21" s="41"/>
      <c r="L21" s="113">
        <v>4.3E-3</v>
      </c>
      <c r="M21" s="113">
        <v>4.3E-3</v>
      </c>
      <c r="N21" s="52">
        <f t="shared" si="0"/>
        <v>0</v>
      </c>
    </row>
    <row r="22" spans="1:15" s="38" customFormat="1">
      <c r="A22" s="50" t="s">
        <v>76</v>
      </c>
      <c r="B22" s="39"/>
      <c r="C22" s="61">
        <v>3.5999999999999999E-3</v>
      </c>
      <c r="D22" s="61">
        <v>3.5999999999999999E-3</v>
      </c>
      <c r="E22" s="61"/>
      <c r="F22" s="61"/>
      <c r="G22" s="61">
        <v>3.5999999999999999E-3</v>
      </c>
      <c r="H22" s="61"/>
      <c r="I22" s="61"/>
      <c r="J22" s="61">
        <v>3.5999999999999999E-3</v>
      </c>
      <c r="K22" s="41"/>
      <c r="L22" s="113">
        <v>3.5999999999999999E-3</v>
      </c>
      <c r="M22" s="113">
        <v>3.5999999999999999E-3</v>
      </c>
      <c r="N22" s="52">
        <f t="shared" si="0"/>
        <v>0</v>
      </c>
    </row>
    <row r="23" spans="1:15" s="38" customFormat="1">
      <c r="A23" s="50" t="s">
        <v>77</v>
      </c>
      <c r="B23" s="39"/>
      <c r="C23" s="61"/>
      <c r="D23" s="61"/>
      <c r="E23" s="61"/>
      <c r="F23" s="61"/>
      <c r="G23" s="61">
        <v>2.4789999999999999E-3</v>
      </c>
      <c r="H23" s="61"/>
      <c r="I23" s="61"/>
      <c r="J23" s="61">
        <v>2.4789999999999999E-3</v>
      </c>
      <c r="K23" s="41"/>
      <c r="L23" s="113">
        <v>2.4789999999999999E-3</v>
      </c>
      <c r="M23" s="113">
        <v>2.4789999999999999E-3</v>
      </c>
      <c r="N23" s="52">
        <f t="shared" si="0"/>
        <v>0</v>
      </c>
    </row>
    <row r="24" spans="1:15" s="38" customFormat="1">
      <c r="A24" s="50" t="s">
        <v>798</v>
      </c>
      <c r="B24" s="39"/>
      <c r="C24" s="61">
        <v>4.4229999999999998E-2</v>
      </c>
      <c r="D24" s="61">
        <v>4.4229999999999998E-2</v>
      </c>
      <c r="E24" s="61">
        <v>4.4229999999999998E-2</v>
      </c>
      <c r="F24" s="61">
        <v>4.4229999999999998E-2</v>
      </c>
      <c r="G24" s="61">
        <v>4.4229999999999998E-2</v>
      </c>
      <c r="H24" s="61"/>
      <c r="I24" s="61"/>
      <c r="J24" s="61">
        <v>4.4229999999999998E-2</v>
      </c>
      <c r="K24" s="41"/>
      <c r="L24" s="113">
        <v>4.4229999999999998E-2</v>
      </c>
      <c r="M24" s="113">
        <v>4.4229999999999998E-2</v>
      </c>
      <c r="N24" s="52">
        <f t="shared" si="0"/>
        <v>0</v>
      </c>
    </row>
    <row r="25" spans="1:15" s="38" customFormat="1">
      <c r="A25" s="50" t="s">
        <v>799</v>
      </c>
      <c r="B25" s="39"/>
      <c r="C25" s="61">
        <v>4.0000000000000001E-3</v>
      </c>
      <c r="D25" s="61">
        <v>4.0000000000000001E-3</v>
      </c>
      <c r="E25" s="61"/>
      <c r="F25" s="61"/>
      <c r="G25" s="61">
        <v>4.0000000000000001E-3</v>
      </c>
      <c r="H25" s="61"/>
      <c r="I25" s="61"/>
      <c r="J25" s="61">
        <v>4.0000000000000001E-3</v>
      </c>
      <c r="K25" s="41"/>
      <c r="L25" s="113">
        <v>4.0000000000000001E-3</v>
      </c>
      <c r="M25" s="113">
        <v>4.0000000000000001E-3</v>
      </c>
      <c r="N25" s="52">
        <f t="shared" si="0"/>
        <v>0</v>
      </c>
    </row>
    <row r="26" spans="1:15" s="38" customFormat="1">
      <c r="A26" s="50" t="s">
        <v>78</v>
      </c>
      <c r="B26" s="39"/>
      <c r="C26" s="61"/>
      <c r="D26" s="61"/>
      <c r="E26" s="61">
        <v>4.0000000000000001E-3</v>
      </c>
      <c r="F26" s="61">
        <v>4.0000000000000001E-3</v>
      </c>
      <c r="G26" s="61"/>
      <c r="H26" s="61"/>
      <c r="I26" s="61"/>
      <c r="J26" s="61"/>
      <c r="K26" s="41"/>
      <c r="L26" s="113">
        <v>4.0000000000000001E-3</v>
      </c>
      <c r="M26" s="113">
        <v>4.0000000000000001E-3</v>
      </c>
      <c r="N26" s="52">
        <f t="shared" si="0"/>
        <v>0</v>
      </c>
    </row>
    <row r="27" spans="1:15" s="24" customFormat="1">
      <c r="A27" s="50" t="s">
        <v>80</v>
      </c>
      <c r="B27" s="39"/>
      <c r="C27" s="61">
        <v>-6.4000000000000003E-3</v>
      </c>
      <c r="D27" s="61">
        <v>-6.4000000000000003E-3</v>
      </c>
      <c r="E27" s="61"/>
      <c r="F27" s="61"/>
      <c r="G27" s="61">
        <v>-6.4000000000000003E-3</v>
      </c>
      <c r="H27" s="61"/>
      <c r="I27" s="61"/>
      <c r="J27" s="61">
        <v>-6.4000000000000003E-3</v>
      </c>
      <c r="K27" s="41"/>
      <c r="L27" s="113">
        <v>-6.4000000000000003E-3</v>
      </c>
      <c r="M27" s="113">
        <v>-6.4000000000000003E-3</v>
      </c>
      <c r="N27" s="52">
        <f t="shared" si="0"/>
        <v>0</v>
      </c>
    </row>
    <row r="28" spans="1:15" s="24" customFormat="1">
      <c r="A28" s="50" t="s">
        <v>79</v>
      </c>
      <c r="B28" s="42"/>
      <c r="C28" s="62">
        <v>-2.3E-3</v>
      </c>
      <c r="D28" s="62">
        <v>-2.3E-3</v>
      </c>
      <c r="E28" s="62"/>
      <c r="F28" s="62"/>
      <c r="G28" s="62">
        <v>-2.3E-3</v>
      </c>
      <c r="H28" s="62"/>
      <c r="I28" s="62"/>
      <c r="J28" s="62">
        <v>-2.3E-3</v>
      </c>
      <c r="K28" s="44"/>
      <c r="L28" s="114">
        <v>-2.3E-3</v>
      </c>
      <c r="M28" s="114">
        <v>-2.3E-3</v>
      </c>
      <c r="N28" s="53">
        <f t="shared" si="0"/>
        <v>0</v>
      </c>
    </row>
    <row r="29" spans="1:15" s="38" customFormat="1">
      <c r="A29" s="58" t="s">
        <v>60</v>
      </c>
      <c r="K29" s="45"/>
      <c r="L29" s="25"/>
      <c r="M29" s="25"/>
      <c r="N29" s="33"/>
    </row>
    <row r="30" spans="1:15" s="38" customFormat="1">
      <c r="A30" s="50" t="s">
        <v>30</v>
      </c>
      <c r="B30" s="64">
        <v>1.06E-2</v>
      </c>
      <c r="C30" s="60">
        <v>1.06E-2</v>
      </c>
      <c r="D30" s="60">
        <v>1.06E-2</v>
      </c>
      <c r="E30" s="60"/>
      <c r="F30" s="60">
        <v>1.06E-2</v>
      </c>
      <c r="G30" s="60"/>
      <c r="H30" s="60">
        <v>1.06E-2</v>
      </c>
      <c r="I30" s="60">
        <v>1.06E-2</v>
      </c>
      <c r="J30" s="60">
        <v>1.06E-2</v>
      </c>
      <c r="K30" s="121">
        <v>1.06E-2</v>
      </c>
      <c r="L30" s="115">
        <v>1.06E-2</v>
      </c>
      <c r="M30" s="115">
        <v>1.06E-2</v>
      </c>
      <c r="N30" s="54">
        <f t="shared" ref="N30:N34" si="1">L30-M30</f>
        <v>0</v>
      </c>
      <c r="O30" s="118"/>
    </row>
    <row r="31" spans="1:15" s="38" customFormat="1">
      <c r="A31" s="50" t="s">
        <v>800</v>
      </c>
      <c r="B31" s="65"/>
      <c r="C31" s="61"/>
      <c r="D31" s="61"/>
      <c r="E31" s="61"/>
      <c r="F31" s="61"/>
      <c r="G31" s="61"/>
      <c r="H31" s="61">
        <v>5.0000000000000001E-3</v>
      </c>
      <c r="I31" s="61">
        <v>5.0000000000000001E-3</v>
      </c>
      <c r="J31" s="61"/>
      <c r="K31" s="121"/>
      <c r="L31" s="116">
        <v>5.0000000000000001E-3</v>
      </c>
      <c r="M31" s="116">
        <v>5.0000000000000001E-3</v>
      </c>
      <c r="N31" s="55"/>
      <c r="O31" s="118"/>
    </row>
    <row r="32" spans="1:15" s="38" customFormat="1">
      <c r="A32" s="50" t="s">
        <v>57</v>
      </c>
      <c r="B32" s="123">
        <v>0</v>
      </c>
      <c r="C32" s="124">
        <v>0</v>
      </c>
      <c r="D32" s="124">
        <v>0</v>
      </c>
      <c r="E32" s="61"/>
      <c r="F32" s="61"/>
      <c r="G32" s="61"/>
      <c r="H32" s="61"/>
      <c r="I32" s="61"/>
      <c r="J32" s="61"/>
      <c r="K32" s="66"/>
      <c r="L32" s="113">
        <v>0</v>
      </c>
      <c r="M32" s="113">
        <v>0</v>
      </c>
      <c r="N32" s="52">
        <f t="shared" si="1"/>
        <v>0</v>
      </c>
    </row>
    <row r="33" spans="1:14" s="38" customFormat="1">
      <c r="A33" s="50" t="s">
        <v>31</v>
      </c>
      <c r="B33" s="65">
        <v>9.3500000000000007E-3</v>
      </c>
      <c r="C33" s="61">
        <v>9.3500000000000007E-3</v>
      </c>
      <c r="D33" s="61">
        <v>9.3500000000000007E-3</v>
      </c>
      <c r="E33" s="61"/>
      <c r="F33" s="61">
        <v>9.3500000000000007E-3</v>
      </c>
      <c r="G33" s="61"/>
      <c r="H33" s="61">
        <v>9.3500000000000007E-3</v>
      </c>
      <c r="I33" s="61">
        <v>9.3500000000000007E-3</v>
      </c>
      <c r="J33" s="61">
        <v>9.3500000000000007E-3</v>
      </c>
      <c r="K33" s="66"/>
      <c r="L33" s="113">
        <v>9.3500000000000007E-3</v>
      </c>
      <c r="M33" s="113">
        <v>9.3500000000000007E-3</v>
      </c>
      <c r="N33" s="52">
        <f t="shared" si="1"/>
        <v>0</v>
      </c>
    </row>
    <row r="34" spans="1:14" s="38" customFormat="1">
      <c r="A34" s="50" t="s">
        <v>32</v>
      </c>
      <c r="B34" s="67">
        <v>1.5E-3</v>
      </c>
      <c r="C34" s="62">
        <v>1.5E-3</v>
      </c>
      <c r="D34" s="62">
        <v>1.5E-3</v>
      </c>
      <c r="E34" s="62"/>
      <c r="F34" s="62">
        <v>1.5E-3</v>
      </c>
      <c r="G34" s="62"/>
      <c r="H34" s="62">
        <v>1.5E-3</v>
      </c>
      <c r="I34" s="62">
        <v>1.5E-3</v>
      </c>
      <c r="J34" s="62">
        <v>1.5E-3</v>
      </c>
      <c r="K34" s="68">
        <v>1.5E-3</v>
      </c>
      <c r="L34" s="114">
        <v>1.5E-3</v>
      </c>
      <c r="M34" s="114">
        <v>1.5E-3</v>
      </c>
      <c r="N34" s="53">
        <f t="shared" si="1"/>
        <v>0</v>
      </c>
    </row>
    <row r="35" spans="1:14" s="38" customFormat="1">
      <c r="A35" s="58" t="s">
        <v>59</v>
      </c>
      <c r="K35" s="45"/>
      <c r="L35" s="25"/>
      <c r="M35" s="25"/>
      <c r="N35" s="111"/>
    </row>
    <row r="36" spans="1:14" s="38" customFormat="1">
      <c r="A36" s="50" t="s">
        <v>33</v>
      </c>
      <c r="B36" s="35"/>
      <c r="C36" s="36"/>
      <c r="D36" s="36"/>
      <c r="E36" s="36"/>
      <c r="F36" s="36">
        <v>6.3829999999999998E-2</v>
      </c>
      <c r="G36" s="36"/>
      <c r="H36" s="36"/>
      <c r="I36" s="36"/>
      <c r="J36" s="36"/>
      <c r="K36" s="37"/>
      <c r="L36" s="115">
        <v>6.3829999999999998E-2</v>
      </c>
      <c r="M36" s="115">
        <v>6.3829999999999998E-2</v>
      </c>
      <c r="N36" s="54">
        <f>L36-M36</f>
        <v>0</v>
      </c>
    </row>
    <row r="37" spans="1:14" s="38" customFormat="1">
      <c r="A37" s="50" t="s">
        <v>34</v>
      </c>
      <c r="B37" s="39"/>
      <c r="C37" s="40"/>
      <c r="D37" s="40"/>
      <c r="E37" s="40"/>
      <c r="F37" s="40"/>
      <c r="G37" s="40"/>
      <c r="H37" s="40"/>
      <c r="I37" s="40"/>
      <c r="J37" s="40"/>
      <c r="K37" s="41"/>
      <c r="L37" s="116">
        <v>0.01</v>
      </c>
      <c r="M37" s="116">
        <v>0.01</v>
      </c>
      <c r="N37" s="55">
        <f>L37-M37</f>
        <v>0</v>
      </c>
    </row>
    <row r="38" spans="1:14" s="38" customFormat="1">
      <c r="A38" s="50" t="s">
        <v>35</v>
      </c>
      <c r="B38" s="39">
        <v>3.8519999999999999E-2</v>
      </c>
      <c r="C38" s="40">
        <v>3.8519999999999999E-2</v>
      </c>
      <c r="D38" s="40">
        <v>3.8519999999999999E-2</v>
      </c>
      <c r="E38" s="40">
        <v>3.8519999999999999E-2</v>
      </c>
      <c r="F38" s="40">
        <v>3.8519999999999999E-2</v>
      </c>
      <c r="G38" s="40">
        <v>3.8519999999999999E-2</v>
      </c>
      <c r="H38" s="40">
        <v>3.8519999999999999E-2</v>
      </c>
      <c r="I38" s="40">
        <v>3.8519999999999999E-2</v>
      </c>
      <c r="J38" s="40">
        <v>3.8519999999999999E-2</v>
      </c>
      <c r="K38" s="41">
        <v>3.8519999999999999E-2</v>
      </c>
      <c r="L38" s="116">
        <v>3.8519999999999999E-2</v>
      </c>
      <c r="M38" s="116">
        <v>3.8519999999999999E-2</v>
      </c>
      <c r="N38" s="55">
        <f>L38-M38</f>
        <v>0</v>
      </c>
    </row>
    <row r="39" spans="1:14" s="24" customFormat="1">
      <c r="A39" s="50" t="s">
        <v>36</v>
      </c>
      <c r="B39" s="42"/>
      <c r="C39" s="43"/>
      <c r="D39" s="43"/>
      <c r="E39" s="43"/>
      <c r="F39" s="43"/>
      <c r="G39" s="43"/>
      <c r="H39" s="43"/>
      <c r="I39" s="43">
        <v>0.06</v>
      </c>
      <c r="J39" s="43"/>
      <c r="K39" s="44"/>
      <c r="L39" s="117">
        <v>0.06</v>
      </c>
      <c r="M39" s="117">
        <v>0.06</v>
      </c>
      <c r="N39" s="56">
        <f>L39-M39</f>
        <v>0</v>
      </c>
    </row>
    <row r="40" spans="1:14" s="15" customFormat="1" ht="15.75" thickBot="1">
      <c r="A40" s="57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24"/>
      <c r="M40" s="24"/>
    </row>
    <row r="41" spans="1:14" s="16" customFormat="1" ht="16.5" thickTop="1" thickBot="1">
      <c r="A41" s="69" t="s">
        <v>58</v>
      </c>
      <c r="B41" s="70"/>
      <c r="C41" s="71"/>
      <c r="D41" s="71"/>
      <c r="E41" s="71"/>
      <c r="F41" s="72"/>
      <c r="G41" s="72"/>
      <c r="H41" s="71"/>
      <c r="I41" s="72"/>
      <c r="J41" s="72"/>
      <c r="K41" s="73"/>
      <c r="L41" s="92"/>
      <c r="M41" s="92"/>
    </row>
    <row r="42" spans="1:14" ht="15.75" thickTop="1">
      <c r="A42" s="17" t="s">
        <v>43</v>
      </c>
      <c r="B42" s="47">
        <f>B30+B31</f>
        <v>1.06E-2</v>
      </c>
      <c r="C42" s="48">
        <f t="shared" ref="C42:K42" si="2">C30+C31</f>
        <v>1.06E-2</v>
      </c>
      <c r="D42" s="48">
        <f t="shared" si="2"/>
        <v>1.06E-2</v>
      </c>
      <c r="E42" s="48">
        <f t="shared" si="2"/>
        <v>0</v>
      </c>
      <c r="F42" s="48">
        <f t="shared" si="2"/>
        <v>1.06E-2</v>
      </c>
      <c r="G42" s="48">
        <f t="shared" si="2"/>
        <v>0</v>
      </c>
      <c r="H42" s="48">
        <f t="shared" si="2"/>
        <v>1.5599999999999999E-2</v>
      </c>
      <c r="I42" s="48">
        <f t="shared" si="2"/>
        <v>1.5599999999999999E-2</v>
      </c>
      <c r="J42" s="48">
        <f t="shared" si="2"/>
        <v>1.06E-2</v>
      </c>
      <c r="K42" s="49">
        <f t="shared" si="2"/>
        <v>1.06E-2</v>
      </c>
    </row>
    <row r="43" spans="1:14">
      <c r="A43" s="17" t="s">
        <v>44</v>
      </c>
      <c r="B43" s="27">
        <f t="shared" ref="B43:K43" si="3">B32+B33</f>
        <v>9.3500000000000007E-3</v>
      </c>
      <c r="C43" s="28">
        <f t="shared" si="3"/>
        <v>9.3500000000000007E-3</v>
      </c>
      <c r="D43" s="28">
        <f t="shared" si="3"/>
        <v>9.3500000000000007E-3</v>
      </c>
      <c r="E43" s="28">
        <f t="shared" si="3"/>
        <v>0</v>
      </c>
      <c r="F43" s="28">
        <f t="shared" si="3"/>
        <v>9.3500000000000007E-3</v>
      </c>
      <c r="G43" s="28">
        <f t="shared" si="3"/>
        <v>0</v>
      </c>
      <c r="H43" s="28">
        <f t="shared" si="3"/>
        <v>9.3500000000000007E-3</v>
      </c>
      <c r="I43" s="28">
        <f t="shared" si="3"/>
        <v>9.3500000000000007E-3</v>
      </c>
      <c r="J43" s="28">
        <f t="shared" si="3"/>
        <v>9.3500000000000007E-3</v>
      </c>
      <c r="K43" s="29">
        <f t="shared" si="3"/>
        <v>0</v>
      </c>
    </row>
    <row r="44" spans="1:14">
      <c r="A44" s="17" t="s">
        <v>45</v>
      </c>
      <c r="B44" s="27">
        <v>0</v>
      </c>
      <c r="C44" s="28">
        <f>(AVERAGE(C7:C11)+AVERAGE(C17:C20)+C21+C22+C25+C27+C28)+((AVERAGE(C7:C11)+AVERAGE(C17:C20)+C21+C22+C25+C27+C28)*C24)</f>
        <v>0.31230308725</v>
      </c>
      <c r="D44" s="28">
        <f>(AVERAGE(D7:D11)+AVERAGE(D17:D20)+D21+D22+D25+D27+D28)+((AVERAGE(D7:D11)+AVERAGE(D17:D20)+D21+D22+D25+D27+D28)*D24)</f>
        <v>0.31230308725</v>
      </c>
      <c r="E44" s="28">
        <f>E14+E26+(E14+E26)*E24</f>
        <v>0.10859992000000002</v>
      </c>
      <c r="F44" s="28">
        <f>F16+F26+(F16+F26)*F24</f>
        <v>0.16726893832</v>
      </c>
      <c r="G44" s="28">
        <f>AVERAGE(G17:G20)+G21+G22+G25+G27+G28+(AVERAGE(G17:G20)+G21+G22+G25+G27+G28)*G24</f>
        <v>0.31230308725</v>
      </c>
      <c r="H44" s="28">
        <v>0</v>
      </c>
      <c r="I44" s="28">
        <v>0</v>
      </c>
      <c r="J44" s="28">
        <f>AVERAGE(J17:J20)+J21+J22+J25+J27+J28+(AVERAGE(J17:J20)+J21+J22+J25+J27+J28)*J24</f>
        <v>0.31230308725</v>
      </c>
      <c r="K44" s="29">
        <v>0</v>
      </c>
    </row>
    <row r="45" spans="1:14">
      <c r="A45" s="17" t="s">
        <v>50</v>
      </c>
      <c r="B45" s="47">
        <f>B38</f>
        <v>3.8519999999999999E-2</v>
      </c>
      <c r="C45" s="48">
        <f>C38</f>
        <v>3.8519999999999999E-2</v>
      </c>
      <c r="D45" s="48">
        <f>D38</f>
        <v>3.8519999999999999E-2</v>
      </c>
      <c r="E45" s="48">
        <f>E38</f>
        <v>3.8519999999999999E-2</v>
      </c>
      <c r="F45" s="48">
        <f>F36+F38</f>
        <v>0.10235</v>
      </c>
      <c r="G45" s="48">
        <f>G38</f>
        <v>3.8519999999999999E-2</v>
      </c>
      <c r="H45" s="48">
        <f>H38</f>
        <v>3.8519999999999999E-2</v>
      </c>
      <c r="I45" s="48">
        <f>I38</f>
        <v>3.8519999999999999E-2</v>
      </c>
      <c r="J45" s="48">
        <f t="shared" ref="J45:K45" si="4">J38</f>
        <v>3.8519999999999999E-2</v>
      </c>
      <c r="K45" s="49">
        <f t="shared" si="4"/>
        <v>3.8519999999999999E-2</v>
      </c>
    </row>
    <row r="46" spans="1:14">
      <c r="A46" s="17" t="s">
        <v>37</v>
      </c>
      <c r="B46" s="27">
        <f t="shared" ref="B46:I46" si="5">B34</f>
        <v>1.5E-3</v>
      </c>
      <c r="C46" s="28">
        <f t="shared" si="5"/>
        <v>1.5E-3</v>
      </c>
      <c r="D46" s="28">
        <f t="shared" si="5"/>
        <v>1.5E-3</v>
      </c>
      <c r="E46" s="28">
        <f t="shared" si="5"/>
        <v>0</v>
      </c>
      <c r="F46" s="28">
        <f t="shared" si="5"/>
        <v>1.5E-3</v>
      </c>
      <c r="G46" s="28">
        <f t="shared" si="5"/>
        <v>0</v>
      </c>
      <c r="H46" s="28">
        <f t="shared" si="5"/>
        <v>1.5E-3</v>
      </c>
      <c r="I46" s="28">
        <f t="shared" si="5"/>
        <v>1.5E-3</v>
      </c>
      <c r="J46" s="28">
        <f t="shared" ref="J46" si="6">J34</f>
        <v>1.5E-3</v>
      </c>
      <c r="K46" s="29">
        <f>K34</f>
        <v>1.5E-3</v>
      </c>
    </row>
    <row r="47" spans="1:14">
      <c r="A47" s="17" t="s">
        <v>46</v>
      </c>
      <c r="B47" s="47">
        <f t="shared" ref="B47:G47" si="7">B23</f>
        <v>0</v>
      </c>
      <c r="C47" s="48">
        <f t="shared" si="7"/>
        <v>0</v>
      </c>
      <c r="D47" s="48">
        <f t="shared" si="7"/>
        <v>0</v>
      </c>
      <c r="E47" s="48">
        <f t="shared" si="7"/>
        <v>0</v>
      </c>
      <c r="F47" s="48">
        <f t="shared" si="7"/>
        <v>0</v>
      </c>
      <c r="G47" s="48">
        <f t="shared" si="7"/>
        <v>2.4789999999999999E-3</v>
      </c>
      <c r="H47" s="48">
        <f t="shared" ref="H47:I47" si="8">H23</f>
        <v>0</v>
      </c>
      <c r="I47" s="48">
        <f t="shared" si="8"/>
        <v>0</v>
      </c>
      <c r="J47" s="48">
        <f t="shared" ref="J47" si="9">J23</f>
        <v>2.4789999999999999E-3</v>
      </c>
      <c r="K47" s="49">
        <f>K23</f>
        <v>0</v>
      </c>
    </row>
    <row r="48" spans="1:14">
      <c r="A48" s="17" t="s">
        <v>51</v>
      </c>
      <c r="B48" s="30">
        <v>0</v>
      </c>
      <c r="C48" s="31">
        <v>0</v>
      </c>
      <c r="D48" s="31">
        <v>0</v>
      </c>
      <c r="E48" s="31">
        <v>0</v>
      </c>
      <c r="F48" s="31">
        <f>F44*F36</f>
        <v>1.06767763329656E-2</v>
      </c>
      <c r="G48" s="31">
        <v>0</v>
      </c>
      <c r="H48" s="31">
        <v>0</v>
      </c>
      <c r="I48" s="31">
        <v>0</v>
      </c>
      <c r="J48" s="31">
        <v>0</v>
      </c>
      <c r="K48" s="32">
        <v>0</v>
      </c>
    </row>
    <row r="50" spans="1:1">
      <c r="A50" s="14"/>
    </row>
  </sheetData>
  <pageMargins left="0.7" right="0.7" top="0.75" bottom="0.75" header="0.3" footer="0.3"/>
  <pageSetup scale="63" orientation="landscape" r:id="rId1"/>
  <ignoredErrors>
    <ignoredError sqref="F4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0"/>
  <sheetViews>
    <sheetView zoomScale="80" zoomScaleNormal="80" workbookViewId="0">
      <pane xSplit="1" topLeftCell="B1" activePane="topRight" state="frozen"/>
      <selection activeCell="P25" sqref="P25"/>
      <selection pane="topRight" activeCell="P25" sqref="P25"/>
    </sheetView>
  </sheetViews>
  <sheetFormatPr defaultColWidth="8.7109375" defaultRowHeight="15"/>
  <cols>
    <col min="1" max="1" width="31.28515625" style="5" customWidth="1"/>
    <col min="2" max="2" width="8.5703125" style="5" bestFit="1" customWidth="1"/>
    <col min="3" max="3" width="7.7109375" style="5" bestFit="1" customWidth="1"/>
    <col min="4" max="4" width="7.85546875" style="5" bestFit="1" customWidth="1"/>
    <col min="5" max="5" width="7.42578125" style="5" bestFit="1" customWidth="1"/>
    <col min="6" max="6" width="8" style="5" bestFit="1" customWidth="1"/>
    <col min="7" max="8" width="7.42578125" style="5" bestFit="1" customWidth="1"/>
    <col min="9" max="10" width="7.7109375" style="5" bestFit="1" customWidth="1"/>
    <col min="11" max="11" width="7.42578125" style="5" bestFit="1" customWidth="1"/>
    <col min="12" max="13" width="7.7109375" style="5" bestFit="1" customWidth="1"/>
    <col min="14" max="14" width="9.42578125" style="109" bestFit="1" customWidth="1"/>
    <col min="15" max="16384" width="8.7109375" style="5"/>
  </cols>
  <sheetData>
    <row r="1" spans="1:14" ht="18.75">
      <c r="A1" s="127" t="s">
        <v>53</v>
      </c>
    </row>
    <row r="2" spans="1:14" ht="15.75">
      <c r="A2" s="10" t="s">
        <v>1013</v>
      </c>
    </row>
    <row r="3" spans="1:14" ht="21">
      <c r="A3" s="23" t="s">
        <v>54</v>
      </c>
    </row>
    <row r="4" spans="1:14" ht="15.75">
      <c r="A4" s="59" t="s">
        <v>47</v>
      </c>
    </row>
    <row r="6" spans="1:14" ht="45.75" thickBot="1">
      <c r="A6" s="3" t="s">
        <v>49</v>
      </c>
      <c r="B6" s="125">
        <f>'3-mo avg gas prices'!B6</f>
        <v>45292</v>
      </c>
      <c r="C6" s="125">
        <f>'3-mo avg gas prices'!C6</f>
        <v>45323</v>
      </c>
      <c r="D6" s="125">
        <f>'3-mo avg gas prices'!D6</f>
        <v>45352</v>
      </c>
      <c r="E6" s="125">
        <f>'3-mo avg gas prices'!E6</f>
        <v>45383</v>
      </c>
      <c r="F6" s="125">
        <f>'3-mo avg gas prices'!F6</f>
        <v>45413</v>
      </c>
      <c r="G6" s="125">
        <f>'3-mo avg gas prices'!G6</f>
        <v>45444</v>
      </c>
      <c r="H6" s="125">
        <f>'3-mo avg gas prices'!H6</f>
        <v>45474</v>
      </c>
      <c r="I6" s="125">
        <f>'3-mo avg gas prices'!I6</f>
        <v>45505</v>
      </c>
      <c r="J6" s="125">
        <f>'3-mo avg gas prices'!J6</f>
        <v>45536</v>
      </c>
      <c r="K6" s="125">
        <f>'3-mo avg gas prices'!K6</f>
        <v>45566</v>
      </c>
      <c r="L6" s="125">
        <f>'3-mo avg gas prices'!L6</f>
        <v>45597</v>
      </c>
      <c r="M6" s="125">
        <f>'3-mo avg gas prices'!M6</f>
        <v>45627</v>
      </c>
      <c r="N6" s="110" t="str">
        <f>'3-mo avg gas prices'!N6</f>
        <v>Average fuel price nominal</v>
      </c>
    </row>
    <row r="7" spans="1:14" ht="15.75" thickTop="1">
      <c r="A7" s="21" t="s">
        <v>28</v>
      </c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7"/>
    </row>
    <row r="8" spans="1:14">
      <c r="A8" s="6" t="s">
        <v>29</v>
      </c>
      <c r="B8" s="101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8"/>
    </row>
    <row r="9" spans="1:14">
      <c r="A9" s="6" t="s">
        <v>27</v>
      </c>
      <c r="B9" s="101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8"/>
    </row>
    <row r="10" spans="1:14">
      <c r="A10" s="21" t="s">
        <v>26</v>
      </c>
      <c r="B10" s="101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8"/>
    </row>
    <row r="11" spans="1:14">
      <c r="A11" s="21" t="s">
        <v>0</v>
      </c>
      <c r="B11" s="101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8"/>
    </row>
    <row r="12" spans="1:14">
      <c r="A12" s="21" t="s">
        <v>42</v>
      </c>
      <c r="B12" s="101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8"/>
    </row>
    <row r="13" spans="1:14">
      <c r="A13" s="6" t="s">
        <v>48</v>
      </c>
      <c r="B13" s="101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8"/>
    </row>
    <row r="14" spans="1:14">
      <c r="A14" s="6" t="s">
        <v>39</v>
      </c>
      <c r="B14" s="101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8"/>
    </row>
    <row r="15" spans="1:14" s="22" customFormat="1">
      <c r="A15" s="21" t="s">
        <v>40</v>
      </c>
      <c r="B15" s="101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8"/>
    </row>
    <row r="16" spans="1:14" s="22" customFormat="1" ht="15.75" thickBot="1">
      <c r="A16" s="21" t="s">
        <v>41</v>
      </c>
      <c r="B16" s="102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9"/>
    </row>
    <row r="17" spans="1:15" ht="15.75" thickTop="1">
      <c r="O17"/>
    </row>
    <row r="19" spans="1:15" ht="45.75" thickBot="1">
      <c r="A19" s="3" t="str">
        <f>"Prices in "&amp;'3-mo avg gas prices'!B19&amp;" dollars ($/MMBtu)"</f>
        <v>Prices in 2020 dollars ($/MMBtu)</v>
      </c>
      <c r="B19" s="125">
        <f t="shared" ref="B19:M19" si="0">B6</f>
        <v>45292</v>
      </c>
      <c r="C19" s="125">
        <f t="shared" si="0"/>
        <v>45323</v>
      </c>
      <c r="D19" s="125">
        <f t="shared" si="0"/>
        <v>45352</v>
      </c>
      <c r="E19" s="125">
        <f t="shared" si="0"/>
        <v>45383</v>
      </c>
      <c r="F19" s="125">
        <f t="shared" si="0"/>
        <v>45413</v>
      </c>
      <c r="G19" s="125">
        <f t="shared" si="0"/>
        <v>45444</v>
      </c>
      <c r="H19" s="125">
        <f t="shared" si="0"/>
        <v>45474</v>
      </c>
      <c r="I19" s="125">
        <f t="shared" si="0"/>
        <v>45505</v>
      </c>
      <c r="J19" s="125">
        <f t="shared" si="0"/>
        <v>45536</v>
      </c>
      <c r="K19" s="125">
        <f t="shared" si="0"/>
        <v>45566</v>
      </c>
      <c r="L19" s="125">
        <f t="shared" si="0"/>
        <v>45597</v>
      </c>
      <c r="M19" s="125">
        <f t="shared" si="0"/>
        <v>45627</v>
      </c>
      <c r="N19" s="119" t="s">
        <v>468</v>
      </c>
    </row>
    <row r="20" spans="1:15" ht="15.75" thickTop="1">
      <c r="A20" s="21" t="s">
        <v>28</v>
      </c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97"/>
    </row>
    <row r="21" spans="1:15">
      <c r="A21" s="21" t="s">
        <v>29</v>
      </c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98"/>
    </row>
    <row r="22" spans="1:15">
      <c r="A22" s="21" t="s">
        <v>27</v>
      </c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98"/>
    </row>
    <row r="23" spans="1:15">
      <c r="A23" s="21" t="s">
        <v>26</v>
      </c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98"/>
    </row>
    <row r="24" spans="1:15">
      <c r="A24" s="21" t="s">
        <v>0</v>
      </c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98"/>
    </row>
    <row r="25" spans="1:15">
      <c r="A25" s="21" t="s">
        <v>42</v>
      </c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98"/>
    </row>
    <row r="26" spans="1:15">
      <c r="A26" s="21" t="s">
        <v>48</v>
      </c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98"/>
    </row>
    <row r="27" spans="1:15">
      <c r="A27" s="21" t="s">
        <v>39</v>
      </c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98"/>
    </row>
    <row r="28" spans="1:15">
      <c r="A28" s="21" t="s">
        <v>40</v>
      </c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98"/>
    </row>
    <row r="29" spans="1:15" ht="15.75" thickBot="1">
      <c r="A29" s="21" t="s">
        <v>41</v>
      </c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99"/>
    </row>
    <row r="30" spans="1:15" ht="15.75" thickTop="1"/>
  </sheetData>
  <pageMargins left="0.7" right="0.7" top="0.75" bottom="0.75" header="0.3" footer="0.3"/>
  <pageSetup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0"/>
  <sheetViews>
    <sheetView zoomScale="80" zoomScaleNormal="80" workbookViewId="0">
      <selection activeCell="P25" sqref="P25"/>
    </sheetView>
  </sheetViews>
  <sheetFormatPr defaultColWidth="8.7109375" defaultRowHeight="15"/>
  <cols>
    <col min="1" max="1" width="32.42578125" style="5" customWidth="1"/>
    <col min="2" max="2" width="7.42578125" style="5" bestFit="1" customWidth="1"/>
    <col min="3" max="3" width="7.7109375" style="5" bestFit="1" customWidth="1"/>
    <col min="4" max="4" width="7.85546875" style="5" bestFit="1" customWidth="1"/>
    <col min="5" max="5" width="7.42578125" style="5" bestFit="1" customWidth="1"/>
    <col min="6" max="6" width="8" style="5" bestFit="1" customWidth="1"/>
    <col min="7" max="8" width="7.42578125" style="5" bestFit="1" customWidth="1"/>
    <col min="9" max="10" width="7.7109375" style="5" bestFit="1" customWidth="1"/>
    <col min="11" max="11" width="7.42578125" style="5" bestFit="1" customWidth="1"/>
    <col min="12" max="13" width="7.7109375" style="5" bestFit="1" customWidth="1"/>
    <col min="14" max="14" width="10.5703125" style="109" customWidth="1"/>
    <col min="15" max="16384" width="8.7109375" style="5"/>
  </cols>
  <sheetData>
    <row r="1" spans="1:14" ht="18.75">
      <c r="A1" s="127" t="s">
        <v>53</v>
      </c>
    </row>
    <row r="2" spans="1:14" ht="15.75">
      <c r="A2" s="10" t="s">
        <v>1013</v>
      </c>
    </row>
    <row r="3" spans="1:14" ht="21">
      <c r="A3" s="23" t="s">
        <v>54</v>
      </c>
    </row>
    <row r="4" spans="1:14" ht="15.75">
      <c r="A4" s="59" t="s">
        <v>47</v>
      </c>
    </row>
    <row r="6" spans="1:14" ht="45.75" thickBot="1">
      <c r="A6" s="3" t="s">
        <v>49</v>
      </c>
      <c r="B6" s="125">
        <f>'3-mo avg gas prices'!B6</f>
        <v>45292</v>
      </c>
      <c r="C6" s="125">
        <f>'3-mo avg gas prices'!C6</f>
        <v>45323</v>
      </c>
      <c r="D6" s="125">
        <f>'3-mo avg gas prices'!D6</f>
        <v>45352</v>
      </c>
      <c r="E6" s="125">
        <f>'3-mo avg gas prices'!E6</f>
        <v>45383</v>
      </c>
      <c r="F6" s="125">
        <f>'3-mo avg gas prices'!F6</f>
        <v>45413</v>
      </c>
      <c r="G6" s="125">
        <f>'3-mo avg gas prices'!G6</f>
        <v>45444</v>
      </c>
      <c r="H6" s="125">
        <f>'3-mo avg gas prices'!H6</f>
        <v>45474</v>
      </c>
      <c r="I6" s="125">
        <f>'3-mo avg gas prices'!I6</f>
        <v>45505</v>
      </c>
      <c r="J6" s="125">
        <f>'3-mo avg gas prices'!J6</f>
        <v>45536</v>
      </c>
      <c r="K6" s="125">
        <f>'3-mo avg gas prices'!K6</f>
        <v>45566</v>
      </c>
      <c r="L6" s="125">
        <f>'3-mo avg gas prices'!L6</f>
        <v>45597</v>
      </c>
      <c r="M6" s="125">
        <f>'3-mo avg gas prices'!M6</f>
        <v>45627</v>
      </c>
      <c r="N6" s="110" t="str">
        <f>'3-mo avg gas prices'!N6</f>
        <v>Average fuel price nominal</v>
      </c>
    </row>
    <row r="7" spans="1:14" ht="15.75" thickTop="1">
      <c r="A7" s="21" t="s">
        <v>28</v>
      </c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7"/>
    </row>
    <row r="8" spans="1:14">
      <c r="A8" s="6" t="s">
        <v>29</v>
      </c>
      <c r="B8" s="101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8"/>
    </row>
    <row r="9" spans="1:14">
      <c r="A9" s="6" t="s">
        <v>27</v>
      </c>
      <c r="B9" s="101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8"/>
    </row>
    <row r="10" spans="1:14">
      <c r="A10" s="21" t="s">
        <v>26</v>
      </c>
      <c r="B10" s="101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8"/>
    </row>
    <row r="11" spans="1:14">
      <c r="A11" s="21" t="s">
        <v>0</v>
      </c>
      <c r="B11" s="101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8"/>
    </row>
    <row r="12" spans="1:14">
      <c r="A12" s="21" t="s">
        <v>42</v>
      </c>
      <c r="B12" s="101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8"/>
    </row>
    <row r="13" spans="1:14">
      <c r="A13" s="6" t="s">
        <v>48</v>
      </c>
      <c r="B13" s="101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8"/>
    </row>
    <row r="14" spans="1:14">
      <c r="A14" s="6" t="s">
        <v>39</v>
      </c>
      <c r="B14" s="101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8"/>
    </row>
    <row r="15" spans="1:14" s="22" customFormat="1">
      <c r="A15" s="21" t="s">
        <v>40</v>
      </c>
      <c r="B15" s="101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8"/>
    </row>
    <row r="16" spans="1:14" s="22" customFormat="1" ht="15.75" thickBot="1">
      <c r="A16" s="21" t="s">
        <v>41</v>
      </c>
      <c r="B16" s="102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9"/>
    </row>
    <row r="17" spans="1:14" ht="15.75" thickTop="1"/>
    <row r="19" spans="1:14" ht="45.75" thickBot="1">
      <c r="A19" s="3" t="str">
        <f>"Prices in "&amp;'3-mo avg gas prices'!B19&amp;" dollars ($/MMBtu)"</f>
        <v>Prices in 2020 dollars ($/MMBtu)</v>
      </c>
      <c r="B19" s="125">
        <f t="shared" ref="B19:M19" si="0">B6</f>
        <v>45292</v>
      </c>
      <c r="C19" s="125">
        <f t="shared" si="0"/>
        <v>45323</v>
      </c>
      <c r="D19" s="125">
        <f t="shared" si="0"/>
        <v>45352</v>
      </c>
      <c r="E19" s="125">
        <f t="shared" si="0"/>
        <v>45383</v>
      </c>
      <c r="F19" s="125">
        <f t="shared" si="0"/>
        <v>45413</v>
      </c>
      <c r="G19" s="125">
        <f t="shared" si="0"/>
        <v>45444</v>
      </c>
      <c r="H19" s="125">
        <f t="shared" si="0"/>
        <v>45474</v>
      </c>
      <c r="I19" s="125">
        <f t="shared" si="0"/>
        <v>45505</v>
      </c>
      <c r="J19" s="125">
        <f t="shared" si="0"/>
        <v>45536</v>
      </c>
      <c r="K19" s="125">
        <f t="shared" si="0"/>
        <v>45566</v>
      </c>
      <c r="L19" s="125">
        <f t="shared" si="0"/>
        <v>45597</v>
      </c>
      <c r="M19" s="125">
        <f t="shared" si="0"/>
        <v>45627</v>
      </c>
      <c r="N19" s="119" t="s">
        <v>468</v>
      </c>
    </row>
    <row r="20" spans="1:14" ht="15.75" thickTop="1">
      <c r="A20" s="21" t="s">
        <v>28</v>
      </c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97"/>
    </row>
    <row r="21" spans="1:14">
      <c r="A21" s="21" t="s">
        <v>29</v>
      </c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98"/>
    </row>
    <row r="22" spans="1:14">
      <c r="A22" s="21" t="s">
        <v>27</v>
      </c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98"/>
    </row>
    <row r="23" spans="1:14">
      <c r="A23" s="21" t="s">
        <v>26</v>
      </c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98"/>
    </row>
    <row r="24" spans="1:14">
      <c r="A24" s="21" t="s">
        <v>0</v>
      </c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98"/>
    </row>
    <row r="25" spans="1:14">
      <c r="A25" s="21" t="s">
        <v>42</v>
      </c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98"/>
    </row>
    <row r="26" spans="1:14">
      <c r="A26" s="21" t="s">
        <v>48</v>
      </c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98"/>
    </row>
    <row r="27" spans="1:14">
      <c r="A27" s="21" t="s">
        <v>39</v>
      </c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98"/>
    </row>
    <row r="28" spans="1:14">
      <c r="A28" s="21" t="s">
        <v>40</v>
      </c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98"/>
    </row>
    <row r="29" spans="1:14" ht="15.75" thickBot="1">
      <c r="A29" s="21" t="s">
        <v>41</v>
      </c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99"/>
    </row>
    <row r="30" spans="1:14" ht="15.75" thickTop="1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0"/>
  <sheetViews>
    <sheetView zoomScaleNormal="100" workbookViewId="0">
      <selection activeCell="P25" sqref="P25"/>
    </sheetView>
  </sheetViews>
  <sheetFormatPr defaultRowHeight="15"/>
  <cols>
    <col min="1" max="1" width="32.5703125" customWidth="1"/>
    <col min="2" max="2" width="13" customWidth="1"/>
    <col min="3" max="14" width="8.85546875" bestFit="1" customWidth="1"/>
  </cols>
  <sheetData>
    <row r="1" spans="1:15" s="1" customFormat="1" ht="18.75">
      <c r="A1" s="127" t="s">
        <v>53</v>
      </c>
    </row>
    <row r="2" spans="1:15" s="1" customFormat="1" ht="15.75">
      <c r="A2" s="10" t="s">
        <v>1013</v>
      </c>
    </row>
    <row r="3" spans="1:15" s="1" customFormat="1" ht="21">
      <c r="A3" s="23" t="s">
        <v>101</v>
      </c>
    </row>
    <row r="4" spans="1:15" s="1" customFormat="1" ht="15.75">
      <c r="A4" s="59" t="s">
        <v>102</v>
      </c>
    </row>
    <row r="5" spans="1:15" s="1" customFormat="1"/>
    <row r="6" spans="1:15" s="1" customFormat="1"/>
    <row r="7" spans="1:15">
      <c r="A7" t="s">
        <v>99</v>
      </c>
      <c r="B7" t="s">
        <v>100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</row>
    <row r="8" spans="1:15">
      <c r="A8" s="81" t="s">
        <v>229</v>
      </c>
      <c r="B8" s="81"/>
      <c r="C8" s="91">
        <f>'3-mo avg gas prices'!B22</f>
        <v>9.3403511478854746</v>
      </c>
      <c r="D8" s="91">
        <f>'3-mo avg gas prices'!C22</f>
        <v>7.9451871548938513</v>
      </c>
      <c r="E8" s="91">
        <f>'3-mo avg gas prices'!D22</f>
        <v>4.7653003916467114</v>
      </c>
      <c r="F8" s="91">
        <f>'3-mo avg gas prices'!E22</f>
        <v>2.8356255182232331</v>
      </c>
      <c r="G8" s="91">
        <f>'3-mo avg gas prices'!F22</f>
        <v>2.3464121700313654</v>
      </c>
      <c r="H8" s="91">
        <f>'3-mo avg gas prices'!G22</f>
        <v>2.5004237796473237</v>
      </c>
      <c r="I8" s="91">
        <f>'3-mo avg gas prices'!H22</f>
        <v>3.0892916987671648</v>
      </c>
      <c r="J8" s="91">
        <f>'3-mo avg gas prices'!I22</f>
        <v>3.2433033083831231</v>
      </c>
      <c r="K8" s="91">
        <f>'3-mo avg gas prices'!J22</f>
        <v>3.0802321923191669</v>
      </c>
      <c r="L8" s="91">
        <f>'3-mo avg gas prices'!K22</f>
        <v>2.9986966342871892</v>
      </c>
      <c r="M8" s="91">
        <f>'3-mo avg gas prices'!L22</f>
        <v>5.2545137398385791</v>
      </c>
      <c r="N8" s="91">
        <f>'3-mo avg gas prices'!M22</f>
        <v>7.1298315745740721</v>
      </c>
      <c r="O8" s="80"/>
    </row>
    <row r="9" spans="1:15">
      <c r="A9" s="81" t="s">
        <v>230</v>
      </c>
      <c r="B9" s="81"/>
      <c r="C9" s="91">
        <f>'3-mo avg gas prices'!B24</f>
        <v>6.5772016812462208</v>
      </c>
      <c r="D9" s="91">
        <f>'3-mo avg gas prices'!C24</f>
        <v>6.097047839502352</v>
      </c>
      <c r="E9" s="91">
        <f>'3-mo avg gas prices'!D24</f>
        <v>3.6962786307830005</v>
      </c>
      <c r="F9" s="91">
        <f>'3-mo avg gas prices'!E24</f>
        <v>2.844685024671231</v>
      </c>
      <c r="G9" s="91">
        <f>'3-mo avg gas prices'!F24</f>
        <v>2.5276022989913165</v>
      </c>
      <c r="H9" s="91">
        <f>'3-mo avg gas prices'!G24</f>
        <v>2.6363163763672874</v>
      </c>
      <c r="I9" s="91">
        <f>'3-mo avg gas prices'!H24</f>
        <v>3.0439941665271766</v>
      </c>
      <c r="J9" s="91">
        <f>'3-mo avg gas prices'!I24</f>
        <v>3.0983512052151623</v>
      </c>
      <c r="K9" s="91">
        <f>'3-mo avg gas prices'!J24</f>
        <v>3.0439941665271766</v>
      </c>
      <c r="L9" s="91">
        <f>'3-mo avg gas prices'!K24</f>
        <v>2.9262205827032086</v>
      </c>
      <c r="M9" s="91">
        <f>'3-mo avg gas prices'!L24</f>
        <v>3.8684092532949537</v>
      </c>
      <c r="N9" s="91">
        <f>'3-mo avg gas prices'!M24</f>
        <v>5.4447633752465272</v>
      </c>
      <c r="O9" s="80"/>
    </row>
    <row r="10" spans="1:15">
      <c r="A10" s="81" t="s">
        <v>231</v>
      </c>
      <c r="B10" s="81"/>
      <c r="C10" s="91">
        <f>'3-mo avg gas prices'!B23</f>
        <v>2.418888221615346</v>
      </c>
      <c r="D10" s="91">
        <f>'3-mo avg gas prices'!C23</f>
        <v>2.3917097022713532</v>
      </c>
      <c r="E10" s="91">
        <f>'3-mo avg gas prices'!D23</f>
        <v>2.2195790797593999</v>
      </c>
      <c r="F10" s="91">
        <f>'3-mo avg gas prices'!E23</f>
        <v>2.0474484572474463</v>
      </c>
      <c r="G10" s="91">
        <f>'3-mo avg gas prices'!F23</f>
        <v>1.9477938863194733</v>
      </c>
      <c r="H10" s="91">
        <f>'3-mo avg gas prices'!G23</f>
        <v>1.9024963540794857</v>
      </c>
      <c r="I10" s="91">
        <f>'3-mo avg gas prices'!H23</f>
        <v>1.8571988218394977</v>
      </c>
      <c r="J10" s="91">
        <f>'3-mo avg gas prices'!I23</f>
        <v>1.8843773411834905</v>
      </c>
      <c r="K10" s="91">
        <f>'3-mo avg gas prices'!J23</f>
        <v>1.9206153669754806</v>
      </c>
      <c r="L10" s="91">
        <f>'3-mo avg gas prices'!K23</f>
        <v>2.0746269765914391</v>
      </c>
      <c r="M10" s="91">
        <f>'3-mo avg gas prices'!L23</f>
        <v>2.4732452603033312</v>
      </c>
      <c r="N10" s="91">
        <f>'3-mo avg gas prices'!M23</f>
        <v>2.7722089730872503</v>
      </c>
      <c r="O10" s="80"/>
    </row>
    <row r="11" spans="1:15">
      <c r="A11" s="81" t="s">
        <v>232</v>
      </c>
      <c r="B11" s="81"/>
      <c r="C11" s="91">
        <f>'3-mo avg gas prices'!B25</f>
        <v>6.3574355893464096</v>
      </c>
      <c r="D11" s="91">
        <f>'3-mo avg gas prices'!C25</f>
        <v>5.9920546308460949</v>
      </c>
      <c r="E11" s="91">
        <f>'3-mo avg gas prices'!D25</f>
        <v>3.5585643913686549</v>
      </c>
      <c r="F11" s="91">
        <f>'3-mo avg gas prices'!E25</f>
        <v>2.7584687216411212</v>
      </c>
      <c r="G11" s="91">
        <f>'3-mo avg gas prices'!F25</f>
        <v>2.4044222355128975</v>
      </c>
      <c r="H11" s="91">
        <f>'3-mo avg gas prices'!G25</f>
        <v>2.4193411969377454</v>
      </c>
      <c r="I11" s="91">
        <f>'3-mo avg gas prices'!H25</f>
        <v>2.6303254124258695</v>
      </c>
      <c r="J11" s="91">
        <f>'3-mo avg gas prices'!I25</f>
        <v>3.0261673957746642</v>
      </c>
      <c r="K11" s="91">
        <f>'3-mo avg gas prices'!J25</f>
        <v>2.4442548396697394</v>
      </c>
      <c r="L11" s="91">
        <f>'3-mo avg gas prices'!K25</f>
        <v>2.8609044636345815</v>
      </c>
      <c r="M11" s="91">
        <f>'3-mo avg gas prices'!L25</f>
        <v>3.6440354769328835</v>
      </c>
      <c r="N11" s="91">
        <f>'3-mo avg gas prices'!M25</f>
        <v>5.3508075261164887</v>
      </c>
      <c r="O11" s="80"/>
    </row>
    <row r="12" spans="1:15">
      <c r="A12" s="81" t="s">
        <v>233</v>
      </c>
      <c r="B12" s="81"/>
      <c r="C12" s="91">
        <f>'3-mo avg gas prices'!B29</f>
        <v>6.5953206941422167</v>
      </c>
      <c r="D12" s="91">
        <f>'3-mo avg gas prices'!C29</f>
        <v>6.106107345950349</v>
      </c>
      <c r="E12" s="91">
        <f>'3-mo avg gas prices'!D29</f>
        <v>3.6781596178870051</v>
      </c>
      <c r="F12" s="91">
        <f>'3-mo avg gas prices'!E29</f>
        <v>2.9896371278391913</v>
      </c>
      <c r="G12" s="91">
        <f>'3-mo avg gas prices'!F29</f>
        <v>2.6634948957112798</v>
      </c>
      <c r="H12" s="91">
        <f>'3-mo avg gas prices'!G29</f>
        <v>2.7812684795352478</v>
      </c>
      <c r="I12" s="91">
        <f>'3-mo avg gas prices'!H29</f>
        <v>3.1980057761431349</v>
      </c>
      <c r="J12" s="91">
        <f>'3-mo avg gas prices'!I29</f>
        <v>3.2433033083831231</v>
      </c>
      <c r="K12" s="91">
        <f>'3-mo avg gas prices'!J29</f>
        <v>3.1889462696951378</v>
      </c>
      <c r="L12" s="91">
        <f>'3-mo avg gas prices'!K29</f>
        <v>3.0711726858711694</v>
      </c>
      <c r="M12" s="91">
        <f>'3-mo avg gas prices'!L29</f>
        <v>3.8955877726389465</v>
      </c>
      <c r="N12" s="91">
        <f>'3-mo avg gas prices'!M29</f>
        <v>5.490060907486515</v>
      </c>
    </row>
    <row r="13" spans="1:15">
      <c r="A13" s="81" t="s">
        <v>234</v>
      </c>
      <c r="B13" s="81"/>
      <c r="C13" s="91">
        <f>'3-mo avg gas prices'!B26</f>
        <v>6.9305224327181261</v>
      </c>
      <c r="D13" s="91">
        <f>'3-mo avg gas prices'!C26</f>
        <v>6.4866066167662462</v>
      </c>
      <c r="E13" s="91">
        <f>'3-mo avg gas prices'!D26</f>
        <v>4.6928243400627307</v>
      </c>
      <c r="F13" s="91">
        <f>'3-mo avg gas prices'!E26</f>
        <v>3.9771233306709242</v>
      </c>
      <c r="G13" s="91">
        <f>'3-mo avg gas prices'!F26</f>
        <v>3.886528266190949</v>
      </c>
      <c r="H13" s="91">
        <f>'3-mo avg gas prices'!G26</f>
        <v>4.0405398758069078</v>
      </c>
      <c r="I13" s="91">
        <f>'3-mo avg gas prices'!H26</f>
        <v>4.430098653070802</v>
      </c>
      <c r="J13" s="91">
        <f>'3-mo avg gas prices'!I26</f>
        <v>4.5116342111027805</v>
      </c>
      <c r="K13" s="91">
        <f>'3-mo avg gas prices'!J26</f>
        <v>4.4482176659667969</v>
      </c>
      <c r="L13" s="91">
        <f>'3-mo avg gas prices'!K26</f>
        <v>4.3576226014868213</v>
      </c>
      <c r="M13" s="91">
        <f>'3-mo avg gas prices'!L26</f>
        <v>4.9011929883666747</v>
      </c>
      <c r="N13" s="91">
        <f>'3-mo avg gas prices'!M26</f>
        <v>5.8524411654064172</v>
      </c>
    </row>
    <row r="14" spans="1:15">
      <c r="A14" s="81" t="s">
        <v>235</v>
      </c>
      <c r="B14" s="81"/>
      <c r="C14" s="91">
        <f>'3-mo avg gas prices'!B28</f>
        <v>5.2726327527345749</v>
      </c>
      <c r="D14" s="91">
        <f>'3-mo avg gas prices'!C28</f>
        <v>5.1005021302226208</v>
      </c>
      <c r="E14" s="91">
        <f>'3-mo avg gas prices'!D28</f>
        <v>3.4426124502390687</v>
      </c>
      <c r="F14" s="91">
        <f>'3-mo avg gas prices'!E28</f>
        <v>2.5910188441272992</v>
      </c>
      <c r="G14" s="91">
        <f>'3-mo avg gas prices'!F28</f>
        <v>2.5638403247833068</v>
      </c>
      <c r="H14" s="91">
        <f>'3-mo avg gas prices'!G28</f>
        <v>2.6181973634712921</v>
      </c>
      <c r="I14" s="91">
        <f>'3-mo avg gas prices'!H28</f>
        <v>3.0077561407351867</v>
      </c>
      <c r="J14" s="91">
        <f>'3-mo avg gas prices'!I28</f>
        <v>3.0439941665271766</v>
      </c>
      <c r="K14" s="91">
        <f>'3-mo avg gas prices'!J28</f>
        <v>2.9352800891512065</v>
      </c>
      <c r="L14" s="91">
        <f>'3-mo avg gas prices'!K28</f>
        <v>2.8628040375672259</v>
      </c>
      <c r="M14" s="91">
        <f>'3-mo avg gas prices'!L28</f>
        <v>3.5966240598550274</v>
      </c>
      <c r="N14" s="91">
        <f>'3-mo avg gas prices'!M28</f>
        <v>4.7653003916467114</v>
      </c>
    </row>
    <row r="15" spans="1:15">
      <c r="A15" s="81" t="s">
        <v>236</v>
      </c>
      <c r="B15" s="81"/>
      <c r="C15" s="91">
        <f>'3-mo avg gas prices'!B30</f>
        <v>6.7040347715181872</v>
      </c>
      <c r="D15" s="91">
        <f>'3-mo avg gas prices'!C30</f>
        <v>6.2057619168783216</v>
      </c>
      <c r="E15" s="91">
        <f>'3-mo avg gas prices'!D30</f>
        <v>3.6600406049910101</v>
      </c>
      <c r="F15" s="91">
        <f>'3-mo avg gas prices'!E30</f>
        <v>2.9805776213911939</v>
      </c>
      <c r="G15" s="91">
        <f>'3-mo avg gas prices'!F30</f>
        <v>2.6272568699192895</v>
      </c>
      <c r="H15" s="91">
        <f>'3-mo avg gas prices'!G30</f>
        <v>2.7631494666392529</v>
      </c>
      <c r="I15" s="91">
        <f>'3-mo avg gas prices'!H30</f>
        <v>3.1074107116631597</v>
      </c>
      <c r="J15" s="91">
        <f>'3-mo avg gas prices'!I30</f>
        <v>3.1617677503511454</v>
      </c>
      <c r="K15" s="91">
        <f>'3-mo avg gas prices'!J30</f>
        <v>3.062113179423172</v>
      </c>
      <c r="L15" s="91">
        <f>'3-mo avg gas prices'!K30</f>
        <v>2.953399102047201</v>
      </c>
      <c r="M15" s="91">
        <f>'3-mo avg gas prices'!L30</f>
        <v>3.886528266190949</v>
      </c>
      <c r="N15" s="91">
        <f>'3-mo avg gas prices'!M30</f>
        <v>5.6078344913104843</v>
      </c>
    </row>
    <row r="16" spans="1:15">
      <c r="A16" s="81" t="s">
        <v>237</v>
      </c>
      <c r="B16" s="81"/>
      <c r="C16" s="91">
        <f>'3-mo avg gas prices'!B27</f>
        <v>7.0120579907501037</v>
      </c>
      <c r="D16" s="91">
        <f>'3-mo avg gas prices'!C27</f>
        <v>6.2872974749103001</v>
      </c>
      <c r="E16" s="91">
        <f>'3-mo avg gas prices'!D27</f>
        <v>3.8140522146069684</v>
      </c>
      <c r="F16" s="91">
        <f>'3-mo avg gas prices'!E27</f>
        <v>3.0349346600791796</v>
      </c>
      <c r="G16" s="91">
        <f>'3-mo avg gas prices'!F27</f>
        <v>2.7993874924312427</v>
      </c>
      <c r="H16" s="91">
        <f>'3-mo avg gas prices'!G27</f>
        <v>3.0802321923191669</v>
      </c>
      <c r="I16" s="91">
        <f>'3-mo avg gas prices'!H27</f>
        <v>4.4753961853107898</v>
      </c>
      <c r="J16" s="91">
        <f>'3-mo avg gas prices'!I27</f>
        <v>4.5569317433427683</v>
      </c>
      <c r="K16" s="91">
        <f>'3-mo avg gas prices'!J27</f>
        <v>4.4663366788627918</v>
      </c>
      <c r="L16" s="91">
        <f>'3-mo avg gas prices'!K27</f>
        <v>3.3520173857590936</v>
      </c>
      <c r="M16" s="91">
        <f>'3-mo avg gas prices'!L27</f>
        <v>4.3485630950388243</v>
      </c>
      <c r="N16" s="91">
        <f>'3-mo avg gas prices'!M27</f>
        <v>6.0789288266063561</v>
      </c>
    </row>
    <row r="17" spans="1:14">
      <c r="A17" s="81" t="s">
        <v>238</v>
      </c>
      <c r="B17" s="81"/>
      <c r="C17" s="91">
        <f>'3-mo avg gas prices'!B27</f>
        <v>7.0120579907501037</v>
      </c>
      <c r="D17" s="91">
        <f>'3-mo avg gas prices'!C27</f>
        <v>6.2872974749103001</v>
      </c>
      <c r="E17" s="91">
        <f>'3-mo avg gas prices'!D27</f>
        <v>3.8140522146069684</v>
      </c>
      <c r="F17" s="91">
        <f>'3-mo avg gas prices'!E27</f>
        <v>3.0349346600791796</v>
      </c>
      <c r="G17" s="91">
        <f>'3-mo avg gas prices'!F27</f>
        <v>2.7993874924312427</v>
      </c>
      <c r="H17" s="91">
        <f>'3-mo avg gas prices'!G27</f>
        <v>3.0802321923191669</v>
      </c>
      <c r="I17" s="91">
        <f>'3-mo avg gas prices'!H27</f>
        <v>4.4753961853107898</v>
      </c>
      <c r="J17" s="91">
        <f>'3-mo avg gas prices'!I27</f>
        <v>4.5569317433427683</v>
      </c>
      <c r="K17" s="91">
        <f>'3-mo avg gas prices'!J27</f>
        <v>4.4663366788627918</v>
      </c>
      <c r="L17" s="91">
        <f>'3-mo avg gas prices'!K27</f>
        <v>3.3520173857590936</v>
      </c>
      <c r="M17" s="91">
        <f>'3-mo avg gas prices'!L27</f>
        <v>4.3485630950388243</v>
      </c>
      <c r="N17" s="91">
        <f>'3-mo avg gas prices'!M27</f>
        <v>6.0789288266063561</v>
      </c>
    </row>
    <row r="18" spans="1:14">
      <c r="A18" s="81" t="s">
        <v>239</v>
      </c>
      <c r="B18" s="81"/>
      <c r="C18" s="91">
        <f>'3-mo avg gas prices'!B27</f>
        <v>7.0120579907501037</v>
      </c>
      <c r="D18" s="91">
        <f>'3-mo avg gas prices'!C27</f>
        <v>6.2872974749103001</v>
      </c>
      <c r="E18" s="91">
        <f>'3-mo avg gas prices'!D27</f>
        <v>3.8140522146069684</v>
      </c>
      <c r="F18" s="91">
        <f>'3-mo avg gas prices'!E27</f>
        <v>3.0349346600791796</v>
      </c>
      <c r="G18" s="91">
        <f>'3-mo avg gas prices'!F27</f>
        <v>2.7993874924312427</v>
      </c>
      <c r="H18" s="91">
        <f>'3-mo avg gas prices'!G27</f>
        <v>3.0802321923191669</v>
      </c>
      <c r="I18" s="91">
        <f>'3-mo avg gas prices'!H27</f>
        <v>4.4753961853107898</v>
      </c>
      <c r="J18" s="91">
        <f>'3-mo avg gas prices'!I27</f>
        <v>4.5569317433427683</v>
      </c>
      <c r="K18" s="91">
        <f>'3-mo avg gas prices'!J27</f>
        <v>4.4663366788627918</v>
      </c>
      <c r="L18" s="91">
        <f>'3-mo avg gas prices'!K27</f>
        <v>3.3520173857590936</v>
      </c>
      <c r="M18" s="91">
        <f>'3-mo avg gas prices'!L27</f>
        <v>4.3485630950388243</v>
      </c>
      <c r="N18" s="91">
        <f>'3-mo avg gas prices'!M27</f>
        <v>6.0789288266063561</v>
      </c>
    </row>
    <row r="19" spans="1:14" ht="15.75" thickBot="1">
      <c r="A19" s="81" t="s">
        <v>240</v>
      </c>
      <c r="B19" s="81"/>
      <c r="C19" s="91">
        <f>'3-mo avg gas prices'!B31</f>
        <v>3.4516719566870666</v>
      </c>
      <c r="D19" s="91">
        <f>'3-mo avg gas prices'!C31</f>
        <v>3.3791959051030864</v>
      </c>
      <c r="E19" s="91">
        <f>'3-mo avg gas prices'!D31</f>
        <v>3.1255297245591551</v>
      </c>
      <c r="F19" s="91">
        <f>'3-mo avg gas prices'!E31</f>
        <v>2.8537445311192284</v>
      </c>
      <c r="G19" s="91">
        <f>'3-mo avg gas prices'!F31</f>
        <v>2.8356255182232331</v>
      </c>
      <c r="H19" s="91">
        <f>'3-mo avg gas prices'!G31</f>
        <v>2.9262205827032086</v>
      </c>
      <c r="I19" s="91">
        <f>'3-mo avg gas prices'!H31</f>
        <v>3.0168156471831842</v>
      </c>
      <c r="J19" s="91">
        <f>'3-mo avg gas prices'!I31</f>
        <v>3.062113179423172</v>
      </c>
      <c r="K19" s="91">
        <f>'3-mo avg gas prices'!J31</f>
        <v>3.0349346600791796</v>
      </c>
      <c r="L19" s="91">
        <f>'3-mo avg gas prices'!K31</f>
        <v>3.1074107116631597</v>
      </c>
      <c r="M19" s="91">
        <f>'3-mo avg gas prices'!L31</f>
        <v>3.4335529437910717</v>
      </c>
      <c r="N19" s="91">
        <f>'3-mo avg gas prices'!M31</f>
        <v>3.8231117210549659</v>
      </c>
    </row>
    <row r="20" spans="1:14" ht="15.75" thickTop="1">
      <c r="A20" s="81" t="s">
        <v>789</v>
      </c>
      <c r="B20" s="81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4"/>
    </row>
    <row r="21" spans="1:14">
      <c r="A21" s="81" t="s">
        <v>790</v>
      </c>
      <c r="B21" s="81"/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</row>
    <row r="22" spans="1:14">
      <c r="A22" s="81" t="s">
        <v>791</v>
      </c>
      <c r="B22" s="81"/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7"/>
    </row>
    <row r="23" spans="1:14">
      <c r="A23" s="81" t="s">
        <v>792</v>
      </c>
      <c r="B23" s="81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</row>
    <row r="24" spans="1:14">
      <c r="A24" s="81" t="s">
        <v>793</v>
      </c>
      <c r="B24" s="81"/>
      <c r="C24" s="85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7"/>
    </row>
    <row r="25" spans="1:14">
      <c r="A25" s="81" t="s">
        <v>794</v>
      </c>
      <c r="B25" s="81"/>
      <c r="C25" s="85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7"/>
    </row>
    <row r="26" spans="1:14">
      <c r="A26" s="81" t="s">
        <v>795</v>
      </c>
      <c r="B26" s="81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</row>
    <row r="27" spans="1:14">
      <c r="A27" s="81" t="s">
        <v>1009</v>
      </c>
      <c r="B27" s="81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7"/>
    </row>
    <row r="28" spans="1:14" ht="15.75" thickBot="1">
      <c r="A28" s="81" t="s">
        <v>796</v>
      </c>
      <c r="B28" s="81"/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</row>
    <row r="29" spans="1:14" ht="15.75" thickTop="1">
      <c r="C29" s="1"/>
      <c r="H29" s="79"/>
    </row>
    <row r="30" spans="1:14">
      <c r="H30" s="79"/>
    </row>
    <row r="31" spans="1:14">
      <c r="H31" s="79"/>
    </row>
    <row r="32" spans="1:14">
      <c r="H32" s="79"/>
    </row>
    <row r="33" spans="4:8">
      <c r="H33" s="79"/>
    </row>
    <row r="34" spans="4:8">
      <c r="H34" s="79"/>
    </row>
    <row r="35" spans="4:8">
      <c r="D35" s="1"/>
      <c r="E35" s="1"/>
      <c r="F35" s="1"/>
    </row>
    <row r="36" spans="4:8">
      <c r="D36" s="1"/>
      <c r="E36" s="1"/>
      <c r="F36" s="1"/>
    </row>
    <row r="37" spans="4:8">
      <c r="D37" s="1"/>
      <c r="E37" s="1"/>
      <c r="F37" s="1"/>
    </row>
    <row r="38" spans="4:8">
      <c r="D38" s="1"/>
      <c r="E38" s="1"/>
      <c r="F38" s="1"/>
    </row>
    <row r="39" spans="4:8">
      <c r="D39" s="1"/>
      <c r="E39" s="1"/>
      <c r="F39" s="1"/>
    </row>
    <row r="40" spans="4:8">
      <c r="D40" s="1"/>
      <c r="E40" s="1"/>
      <c r="F40" s="1"/>
    </row>
    <row r="41" spans="4:8">
      <c r="D41" s="1"/>
      <c r="E41" s="1"/>
      <c r="F41" s="1"/>
    </row>
    <row r="42" spans="4:8">
      <c r="D42" s="1"/>
      <c r="E42" s="1"/>
      <c r="F42" s="1"/>
    </row>
    <row r="43" spans="4:8">
      <c r="D43" s="1"/>
      <c r="E43" s="1"/>
      <c r="F43" s="1"/>
    </row>
    <row r="44" spans="4:8">
      <c r="D44" s="1"/>
      <c r="E44" s="1"/>
      <c r="F44" s="1"/>
    </row>
    <row r="45" spans="4:8">
      <c r="D45" s="1"/>
      <c r="E45" s="1"/>
      <c r="F45" s="1"/>
    </row>
    <row r="46" spans="4:8">
      <c r="D46" s="1"/>
      <c r="E46" s="1"/>
      <c r="F46" s="1"/>
    </row>
    <row r="47" spans="4:8">
      <c r="D47" s="1"/>
      <c r="E47" s="1"/>
      <c r="F47" s="1"/>
    </row>
    <row r="48" spans="4:8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046C097-5027-4E5F-B36F-C71C2F7A01E1}"/>
</file>

<file path=customXml/itemProps2.xml><?xml version="1.0" encoding="utf-8"?>
<ds:datastoreItem xmlns:ds="http://schemas.openxmlformats.org/officeDocument/2006/customXml" ds:itemID="{322C5EF5-3CFB-4A55-A034-9E83DF752A6A}"/>
</file>

<file path=customXml/itemProps3.xml><?xml version="1.0" encoding="utf-8"?>
<ds:datastoreItem xmlns:ds="http://schemas.openxmlformats.org/officeDocument/2006/customXml" ds:itemID="{6D26971D-C7FE-42C5-8B2E-72197E8C9C6B}"/>
</file>

<file path=customXml/itemProps4.xml><?xml version="1.0" encoding="utf-8"?>
<ds:datastoreItem xmlns:ds="http://schemas.openxmlformats.org/officeDocument/2006/customXml" ds:itemID="{EBA1FC59-A932-407C-8D4F-1A7BEB316E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REDACTED VERSION</vt:lpstr>
      <vt:lpstr>Lacima Data</vt:lpstr>
      <vt:lpstr>Kingsgate</vt:lpstr>
      <vt:lpstr>3-mo avg gas prices</vt:lpstr>
      <vt:lpstr>(R) Variable transport rates</vt:lpstr>
      <vt:lpstr>(R) Delivered gas prices</vt:lpstr>
      <vt:lpstr>(R) Variable adders</vt:lpstr>
      <vt:lpstr>(R) Aurora inputs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Nguyen</dc:creator>
  <cp:lastModifiedBy>Zakharova, Elena</cp:lastModifiedBy>
  <cp:lastPrinted>2019-06-11T16:04:08Z</cp:lastPrinted>
  <dcterms:created xsi:type="dcterms:W3CDTF">2019-02-08T20:32:04Z</dcterms:created>
  <dcterms:modified xsi:type="dcterms:W3CDTF">2023-09-29T13:53:36Z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