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93B1EB5-5250-4FA9-BB4B-FC983A39AB14}" xr6:coauthVersionLast="47" xr6:coauthVersionMax="47" xr10:uidLastSave="{00000000-0000-0000-0000-000000000000}"/>
  <bookViews>
    <workbookView xWindow="28680" yWindow="-120" windowWidth="29040" windowHeight="15840" xr2:uid="{4B0C8EA3-58EE-4CC8-90F2-58E2FA812C07}"/>
  </bookViews>
  <sheets>
    <sheet name="Exhibit JP-2 PCAM Calcula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FuelCost">#REF!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Burn">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Cost">#REF!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'[16]on off peak hours'!$C$15:$Z$15</definedName>
    <definedName name="Debt">[11]Variables!$AQ$25</definedName>
    <definedName name="DebtCost">[11]Variables!$AT$25</definedName>
    <definedName name="Demand">[17]Inputs!$D$9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OFFSET([18]FTE!$A$1,0,0,COUNTA([18]FTE!$A$1:$A$65536),12)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'[16]on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[17]Inputs!$Y$11</definedName>
    <definedName name="INSERTPOINT">'[19]REX Data'!#REF!</definedName>
    <definedName name="INSERTPOINT2">'[19]REX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[20]!Macro2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[21]lookup!$C$98:$D$107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[6]Inputs!#REF!</definedName>
    <definedName name="MSPYearEndInput">[6]Inputs!#REF!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[22]VDOC!$O$4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'[23]1993'!#REF!</definedName>
    <definedName name="PE_Lookup">'[15]Exhibit 1'!#REF!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[24]Inputs!#REF!</definedName>
    <definedName name="_xlnm.Print_Area" localSheetId="0">'Exhibit JP-2 PCAM Calculation'!$A$1:$P$38</definedName>
    <definedName name="_xlnm.Print_Area">#REF!</definedName>
    <definedName name="PSATable">[25]Hermiston!$A$32:$E$57</definedName>
    <definedName name="Purchases">[21]lookup!$C$21:$D$64</definedName>
    <definedName name="QFs">[21]lookup!$C$66:$D$96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[21]lookup!$C$3:$D$19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rtMWh">#REF!</definedName>
    <definedName name="StartTheMill">#REF!</definedName>
    <definedName name="StartTheRack">#REF!</definedName>
    <definedName name="State">[5]Inputs!$C$5</definedName>
    <definedName name="Storage">[21]lookup!$C$109:$D$126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[26]Transm2!$A$1:$M$461:'[26]10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[27]Inputs!#REF!</definedName>
    <definedName name="WinterPeak">'[28]Load Data'!$D$9:$H$12,'[28]Load Data'!$D$20:$H$22</definedName>
    <definedName name="Workforce_Data">OFFSET([29]Workforce!$A$1,0,0,COUNTA([29]Workforce!$A$1:$A$65536),COUNTA([29]Workforce!$A$1:$IV$1))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'[30]DSM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hidden="1">'[4]DSM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I34" i="1"/>
  <c r="H34" i="1"/>
  <c r="F34" i="1"/>
  <c r="E34" i="1"/>
  <c r="A16" i="1"/>
  <c r="C12" i="1"/>
  <c r="F11" i="1"/>
  <c r="G11" i="1" s="1"/>
  <c r="H11" i="1" s="1"/>
  <c r="I11" i="1" s="1"/>
  <c r="J11" i="1" s="1"/>
  <c r="K11" i="1" s="1"/>
  <c r="L11" i="1" s="1"/>
  <c r="M11" i="1" s="1"/>
  <c r="N11" i="1" s="1"/>
  <c r="O11" i="1" s="1"/>
  <c r="E11" i="1"/>
  <c r="C9" i="1"/>
  <c r="D9" i="1"/>
  <c r="O18" i="1" l="1"/>
  <c r="J18" i="1"/>
  <c r="L18" i="1"/>
  <c r="E18" i="1"/>
  <c r="K12" i="1"/>
  <c r="K14" i="1" s="1"/>
  <c r="K18" i="1" s="1"/>
  <c r="I12" i="1"/>
  <c r="I14" i="1" s="1"/>
  <c r="I18" i="1" s="1"/>
  <c r="H12" i="1"/>
  <c r="H14" i="1" s="1"/>
  <c r="H18" i="1" s="1"/>
  <c r="L12" i="1"/>
  <c r="L14" i="1" s="1"/>
  <c r="O12" i="1"/>
  <c r="O14" i="1" s="1"/>
  <c r="G12" i="1"/>
  <c r="G14" i="1" s="1"/>
  <c r="G18" i="1" s="1"/>
  <c r="M12" i="1"/>
  <c r="M14" i="1" s="1"/>
  <c r="M18" i="1" s="1"/>
  <c r="D12" i="1"/>
  <c r="D14" i="1" s="1"/>
  <c r="D18" i="1" s="1"/>
  <c r="D19" i="1" s="1"/>
  <c r="N12" i="1"/>
  <c r="N14" i="1" s="1"/>
  <c r="N18" i="1" s="1"/>
  <c r="F12" i="1"/>
  <c r="F14" i="1" s="1"/>
  <c r="F18" i="1" s="1"/>
  <c r="E12" i="1"/>
  <c r="E14" i="1" s="1"/>
  <c r="J12" i="1"/>
  <c r="J14" i="1" s="1"/>
  <c r="A19" i="1"/>
  <c r="C18" i="1"/>
  <c r="P16" i="1"/>
  <c r="A18" i="1"/>
  <c r="E19" i="1" l="1"/>
  <c r="A22" i="1"/>
  <c r="P14" i="1"/>
  <c r="C19" i="1"/>
  <c r="A23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K24" i="1" l="1"/>
  <c r="J24" i="1"/>
  <c r="I24" i="1"/>
  <c r="H24" i="1"/>
  <c r="O24" i="1"/>
  <c r="G24" i="1"/>
  <c r="N24" i="1"/>
  <c r="F24" i="1"/>
  <c r="L24" i="1"/>
  <c r="M24" i="1"/>
  <c r="E24" i="1"/>
  <c r="D24" i="1"/>
  <c r="A24" i="1"/>
  <c r="F30" i="1" l="1"/>
  <c r="F23" i="1"/>
  <c r="F29" i="1"/>
  <c r="N30" i="1"/>
  <c r="N23" i="1"/>
  <c r="N29" i="1"/>
  <c r="M30" i="1"/>
  <c r="M23" i="1"/>
  <c r="M29" i="1"/>
  <c r="G23" i="1"/>
  <c r="G29" i="1"/>
  <c r="G30" i="1"/>
  <c r="O23" i="1"/>
  <c r="P24" i="1"/>
  <c r="O29" i="1"/>
  <c r="O30" i="1"/>
  <c r="D27" i="1"/>
  <c r="D30" i="1"/>
  <c r="D28" i="1"/>
  <c r="D23" i="1"/>
  <c r="D29" i="1"/>
  <c r="H23" i="1"/>
  <c r="H29" i="1"/>
  <c r="H30" i="1"/>
  <c r="E27" i="1"/>
  <c r="E30" i="1"/>
  <c r="E23" i="1"/>
  <c r="E28" i="1" s="1"/>
  <c r="E29" i="1"/>
  <c r="I29" i="1"/>
  <c r="I30" i="1"/>
  <c r="I23" i="1"/>
  <c r="J29" i="1"/>
  <c r="J30" i="1"/>
  <c r="J23" i="1"/>
  <c r="A27" i="1"/>
  <c r="A28" i="1" s="1"/>
  <c r="L30" i="1"/>
  <c r="L23" i="1"/>
  <c r="L29" i="1"/>
  <c r="K29" i="1"/>
  <c r="K30" i="1"/>
  <c r="K23" i="1"/>
  <c r="A29" i="1" l="1"/>
  <c r="A30" i="1" s="1"/>
  <c r="A31" i="1" s="1"/>
  <c r="A34" i="1" s="1"/>
  <c r="A35" i="1" s="1"/>
  <c r="E31" i="1"/>
  <c r="E36" i="1" s="1"/>
  <c r="F27" i="1"/>
  <c r="D31" i="1"/>
  <c r="C36" i="1" l="1"/>
  <c r="A36" i="1"/>
  <c r="A37" i="1" s="1"/>
  <c r="A38" i="1" s="1"/>
  <c r="D36" i="1"/>
  <c r="F28" i="1"/>
  <c r="F31" i="1" s="1"/>
  <c r="G27" i="1"/>
  <c r="F36" i="1" l="1"/>
  <c r="H27" i="1"/>
  <c r="G28" i="1"/>
  <c r="G31" i="1" s="1"/>
  <c r="C38" i="1"/>
  <c r="D37" i="1"/>
  <c r="D38" i="1"/>
  <c r="E35" i="1" s="1"/>
  <c r="C37" i="1"/>
  <c r="G36" i="1" l="1"/>
  <c r="H28" i="1"/>
  <c r="H31" i="1" s="1"/>
  <c r="I27" i="1"/>
  <c r="E38" i="1"/>
  <c r="F35" i="1" s="1"/>
  <c r="F37" i="1" s="1"/>
  <c r="E37" i="1"/>
  <c r="H36" i="1" l="1"/>
  <c r="I28" i="1"/>
  <c r="I31" i="1" s="1"/>
  <c r="J27" i="1"/>
  <c r="F38" i="1"/>
  <c r="G35" i="1" s="1"/>
  <c r="G37" i="1"/>
  <c r="I36" i="1" l="1"/>
  <c r="G38" i="1"/>
  <c r="H35" i="1" s="1"/>
  <c r="H37" i="1"/>
  <c r="J28" i="1"/>
  <c r="J31" i="1" s="1"/>
  <c r="J36" i="1" s="1"/>
  <c r="K27" i="1"/>
  <c r="K28" i="1" l="1"/>
  <c r="K31" i="1" s="1"/>
  <c r="K36" i="1" s="1"/>
  <c r="L27" i="1"/>
  <c r="H38" i="1"/>
  <c r="I35" i="1" s="1"/>
  <c r="L28" i="1" l="1"/>
  <c r="L31" i="1" s="1"/>
  <c r="L36" i="1" s="1"/>
  <c r="M27" i="1"/>
  <c r="I37" i="1"/>
  <c r="I38" i="1" s="1"/>
  <c r="J35" i="1" s="1"/>
  <c r="J37" i="1" l="1"/>
  <c r="J38" i="1" s="1"/>
  <c r="K35" i="1" s="1"/>
  <c r="M28" i="1"/>
  <c r="M31" i="1" s="1"/>
  <c r="M36" i="1" s="1"/>
  <c r="N27" i="1"/>
  <c r="K37" i="1" l="1"/>
  <c r="K38" i="1" s="1"/>
  <c r="L35" i="1" s="1"/>
  <c r="N28" i="1"/>
  <c r="N31" i="1" s="1"/>
  <c r="N36" i="1" s="1"/>
  <c r="O27" i="1"/>
  <c r="L37" i="1" l="1"/>
  <c r="L38" i="1" s="1"/>
  <c r="M35" i="1" s="1"/>
  <c r="O28" i="1"/>
  <c r="O31" i="1" s="1"/>
  <c r="O36" i="1" l="1"/>
  <c r="P31" i="1"/>
  <c r="M37" i="1"/>
  <c r="M38" i="1" s="1"/>
  <c r="N35" i="1" s="1"/>
  <c r="N37" i="1" l="1"/>
  <c r="N38" i="1" s="1"/>
  <c r="O35" i="1" s="1"/>
  <c r="O37" i="1" l="1"/>
  <c r="O38" i="1" s="1"/>
  <c r="P38" i="1" s="1"/>
</calcChain>
</file>

<file path=xl/sharedStrings.xml><?xml version="1.0" encoding="utf-8"?>
<sst xmlns="http://schemas.openxmlformats.org/spreadsheetml/2006/main" count="44" uniqueCount="43">
  <si>
    <t>Line No.</t>
  </si>
  <si>
    <t>Base NPC in Rates:</t>
  </si>
  <si>
    <t>UE-210402</t>
  </si>
  <si>
    <t>Total Annual NPC in Rates</t>
  </si>
  <si>
    <t>Retail Sales @ Meter in Rates</t>
  </si>
  <si>
    <t>NPC $/MWh - Final NPC October Update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</si>
  <si>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</si>
  <si>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</si>
  <si>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</si>
  <si>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</si>
  <si>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</si>
  <si>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</si>
  <si>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</si>
  <si>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</si>
  <si>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</si>
  <si>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</si>
  <si>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</si>
  <si>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</si>
  <si>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</si>
  <si>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</si>
  <si>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</si>
  <si>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</si>
  <si>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</si>
  <si>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</si>
  <si>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</si>
  <si>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</si>
  <si>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</si>
  <si>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</si>
  <si>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</si>
  <si>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</si>
  <si>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</si>
  <si>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</si>
  <si>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</si>
  <si>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</si>
  <si>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</si>
  <si>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</si>
  <si>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PCAM Balance</t>
  </si>
  <si>
    <t>Washington Power Cost Adjustment Mechanism</t>
  </si>
  <si>
    <t>Deferral Period: January 1, 2023 - December 31, 2023</t>
  </si>
  <si>
    <t>Exhibit No. JP-2: Power Cost Adjustment Mechanism Calculation</t>
  </si>
  <si>
    <t>(4.1)</t>
  </si>
  <si>
    <t>(7.1)</t>
  </si>
  <si>
    <t>(3.1)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</si>
</sst>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165" fontId="0" fillId="0" borderId="0" xfId="2" applyNumberFormat="1" applyFont="1"/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0" fillId="0" borderId="0" xfId="1" applyNumberFormat="1" applyFont="1" applyBorder="1"/>
    <xf numFmtId="44" fontId="4" fillId="0" borderId="1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4" applyFont="1" applyFill="1" applyAlignment="1">
      <alignment horizontal="center" vertical="center"/>
    </xf>
    <xf numFmtId="41" fontId="0" fillId="0" borderId="2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1" fontId="4" fillId="0" borderId="0" xfId="4" applyNumberFormat="1" applyFont="1" applyFill="1" applyAlignment="1">
      <alignment horizontal="right" vertical="center"/>
    </xf>
    <xf numFmtId="41" fontId="0" fillId="0" borderId="1" xfId="0" applyNumberForma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1" fillId="0" borderId="1" xfId="4" applyNumberFormat="1" applyFont="1" applyFill="1" applyBorder="1" applyAlignment="1">
      <alignment horizontal="center" vertical="center"/>
    </xf>
    <xf numFmtId="41" fontId="1" fillId="0" borderId="0" xfId="4" applyNumberFormat="1" applyFont="1" applyFill="1" applyBorder="1" applyAlignment="1">
      <alignment horizontal="center" vertical="center"/>
    </xf>
    <xf numFmtId="41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vertical="center"/>
    </xf>
    <xf numFmtId="165" fontId="4" fillId="0" borderId="0" xfId="4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6" fontId="0" fillId="0" borderId="0" xfId="1" applyNumberFormat="1" applyFont="1"/>
    <xf numFmtId="41" fontId="4" fillId="0" borderId="0" xfId="4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9" fontId="0" fillId="0" borderId="0" xfId="3" applyFont="1"/>
    <xf numFmtId="166" fontId="4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2" fillId="0" borderId="0" xfId="0" applyFont="1" applyAlignment="1">
      <alignment wrapText="1"/>
    </xf>
    <xf numFmtId="165" fontId="4" fillId="0" borderId="0" xfId="4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5" fontId="0" fillId="0" borderId="0" xfId="2" applyNumberFormat="1" applyFont="1" applyFill="1" applyAlignment="1">
      <alignment horizontal="center"/>
    </xf>
    <xf numFmtId="43" fontId="0" fillId="0" borderId="0" xfId="0" applyNumberFormat="1"/>
    <xf numFmtId="166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6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/>
    </xf>
    <xf numFmtId="44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</cellXfs>
  <cellStyles count="5">
    <cellStyle name="Comma" xfId="1" builtinId="3"/>
    <cellStyle name="Currency" xfId="2" builtinId="4"/>
    <cellStyle name="Currency 2 2" xfId="4" xr:uid="{BCD2784B-38A4-49A3-922C-3DF712FC7BE8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%20Shared%20Directory/TJ%20Financials/2006%20Planning/PLAN%20FTE%20COMPARI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C4FD-DD82-4E29-B4D3-2D0CCE2F91A2}">
  <sheetPr>
    <pageSetUpPr fitToPage="1"/>
  </sheetPr>
  <dimension ref="A1:X41"/>
  <sheetViews>
    <sheetView tabSelected="1" view="pageBreakPreview" zoomScale="60" zoomScaleNormal="90" workbookViewId="0">
      <pane ySplit="5" topLeftCell="A6" activePane="bottomLeft" state="frozen"/>
      <selection pane="bottomLeft" activeCell="B61" sqref="B61"/>
    </sheetView>
  </sheetViews>
  <sheetFormatPr defaultRowHeight="12.75" x14ac:dyDescent="0.2"/>
  <cols>
    <col min="1" max="1" width="5.5703125" customWidth="1"/>
    <col min="2" max="2" width="51.42578125" bestFit="1" customWidth="1"/>
    <col min="3" max="3" width="35.5703125" style="2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1" t="s">
        <v>37</v>
      </c>
    </row>
    <row r="2" spans="1:16" x14ac:dyDescent="0.2">
      <c r="A2" s="1" t="s">
        <v>38</v>
      </c>
    </row>
    <row r="3" spans="1:16" x14ac:dyDescent="0.2">
      <c r="A3" s="1" t="s">
        <v>39</v>
      </c>
    </row>
    <row r="5" spans="1:16" ht="25.5" x14ac:dyDescent="0.2">
      <c r="A5" s="3" t="s">
        <v>0</v>
      </c>
      <c r="B5" s="4"/>
      <c r="E5" s="5"/>
      <c r="F5" s="5"/>
      <c r="G5" s="5"/>
      <c r="H5" s="5"/>
    </row>
    <row r="6" spans="1:16" x14ac:dyDescent="0.2">
      <c r="A6" s="6" t="s">
        <v>1</v>
      </c>
      <c r="B6" s="4"/>
      <c r="C6" s="7"/>
      <c r="D6" s="5" t="s">
        <v>2</v>
      </c>
      <c r="E6" s="8"/>
      <c r="F6" s="8"/>
      <c r="G6" s="8"/>
      <c r="H6" s="5"/>
    </row>
    <row r="7" spans="1:16" x14ac:dyDescent="0.2">
      <c r="A7" s="9">
        <v>1</v>
      </c>
      <c r="B7" s="10" t="s">
        <v>3</v>
      </c>
      <c r="C7" s="2" t="s">
        <v>40</v>
      </c>
      <c r="D7" s="11">
        <v>145191095.09510398</v>
      </c>
      <c r="E7" s="11"/>
      <c r="F7" s="66"/>
      <c r="G7" s="66"/>
      <c r="H7" s="11"/>
    </row>
    <row r="8" spans="1:16" x14ac:dyDescent="0.2">
      <c r="A8" s="12">
        <v>2</v>
      </c>
      <c r="B8" t="s">
        <v>4</v>
      </c>
      <c r="C8" s="2" t="s">
        <v>41</v>
      </c>
      <c r="D8" s="13">
        <v>4081606.818594561</v>
      </c>
      <c r="E8" s="13"/>
      <c r="F8" s="67"/>
      <c r="G8" s="67"/>
      <c r="H8" s="14"/>
    </row>
    <row r="9" spans="1:16" x14ac:dyDescent="0.2">
      <c r="A9" s="12">
        <v>3</v>
      </c>
      <c r="B9" t="s">
        <v>5</v>
      </c>
      <c r="C9" s="2" t="str">
        <f>"Line "&amp;A7&amp;" / Line "&amp;A8</f>
        <v>Line 1 / Line 2</v>
      </c>
      <c r="D9" s="15">
        <f>+D7/D8</f>
        <v>35.572043449569286</v>
      </c>
      <c r="E9" s="16"/>
      <c r="F9" s="67"/>
      <c r="G9" s="67"/>
      <c r="H9" s="17"/>
      <c r="I9" s="18"/>
    </row>
    <row r="10" spans="1:16" x14ac:dyDescent="0.2">
      <c r="A10" s="19"/>
      <c r="B10" s="4"/>
      <c r="D10" s="8"/>
      <c r="E10" s="8"/>
      <c r="F10" s="8"/>
      <c r="G10" s="8"/>
    </row>
    <row r="11" spans="1:16" x14ac:dyDescent="0.2">
      <c r="A11" s="20" t="s">
        <v>6</v>
      </c>
      <c r="B11" s="21"/>
      <c r="D11" s="22">
        <v>44927</v>
      </c>
      <c r="E11" s="22">
        <f>EDATE(D11,1)</f>
        <v>44958</v>
      </c>
      <c r="F11" s="22">
        <f t="shared" ref="F11:O11" si="0">EDATE(E11,1)</f>
        <v>44986</v>
      </c>
      <c r="G11" s="22">
        <f t="shared" si="0"/>
        <v>45017</v>
      </c>
      <c r="H11" s="22">
        <f t="shared" si="0"/>
        <v>45047</v>
      </c>
      <c r="I11" s="22">
        <f t="shared" si="0"/>
        <v>45078</v>
      </c>
      <c r="J11" s="22">
        <f t="shared" si="0"/>
        <v>45108</v>
      </c>
      <c r="K11" s="22">
        <f t="shared" si="0"/>
        <v>45139</v>
      </c>
      <c r="L11" s="22">
        <f t="shared" si="0"/>
        <v>45170</v>
      </c>
      <c r="M11" s="22">
        <f t="shared" si="0"/>
        <v>45200</v>
      </c>
      <c r="N11" s="22">
        <f t="shared" si="0"/>
        <v>45231</v>
      </c>
      <c r="O11" s="22">
        <f t="shared" si="0"/>
        <v>45261</v>
      </c>
      <c r="P11" s="23" t="s">
        <v>7</v>
      </c>
    </row>
    <row r="12" spans="1:16" x14ac:dyDescent="0.2">
      <c r="A12" s="9">
        <v>4</v>
      </c>
      <c r="B12" s="21" t="s">
        <v>8</v>
      </c>
      <c r="C12" s="2" t="str">
        <f>"Line "&amp;A9</f>
        <v>Line 3</v>
      </c>
      <c r="D12" s="24">
        <f>$D$9</f>
        <v>35.572043449569286</v>
      </c>
      <c r="E12" s="24">
        <f t="shared" ref="E12:O12" si="1">$D$9</f>
        <v>35.572043449569286</v>
      </c>
      <c r="F12" s="24">
        <f t="shared" si="1"/>
        <v>35.572043449569286</v>
      </c>
      <c r="G12" s="24">
        <f t="shared" si="1"/>
        <v>35.572043449569286</v>
      </c>
      <c r="H12" s="24">
        <f t="shared" si="1"/>
        <v>35.572043449569286</v>
      </c>
      <c r="I12" s="24">
        <f t="shared" si="1"/>
        <v>35.572043449569286</v>
      </c>
      <c r="J12" s="24">
        <f t="shared" si="1"/>
        <v>35.572043449569286</v>
      </c>
      <c r="K12" s="24">
        <f t="shared" si="1"/>
        <v>35.572043449569286</v>
      </c>
      <c r="L12" s="24">
        <f t="shared" si="1"/>
        <v>35.572043449569286</v>
      </c>
      <c r="M12" s="24">
        <f t="shared" si="1"/>
        <v>35.572043449569286</v>
      </c>
      <c r="N12" s="24">
        <f t="shared" si="1"/>
        <v>35.572043449569286</v>
      </c>
      <c r="O12" s="24">
        <f t="shared" si="1"/>
        <v>35.572043449569286</v>
      </c>
    </row>
    <row r="13" spans="1:16" x14ac:dyDescent="0.2">
      <c r="A13" s="9">
        <v>5</v>
      </c>
      <c r="B13" s="21" t="s">
        <v>9</v>
      </c>
      <c r="C13" s="2" t="s">
        <v>41</v>
      </c>
      <c r="D13" s="25">
        <v>397967.68200000003</v>
      </c>
      <c r="E13" s="25">
        <v>335797.69199999998</v>
      </c>
      <c r="F13" s="25">
        <v>336092.07200000004</v>
      </c>
      <c r="G13" s="25">
        <v>287329.95200000005</v>
      </c>
      <c r="H13" s="25">
        <v>276723.60400000005</v>
      </c>
      <c r="I13" s="25">
        <v>297605.84999999998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6" x14ac:dyDescent="0.2">
      <c r="A14" s="9">
        <v>6</v>
      </c>
      <c r="B14" s="26" t="s">
        <v>10</v>
      </c>
      <c r="C14" s="27" t="s">
        <v>11</v>
      </c>
      <c r="D14" s="28">
        <f>D12*D13</f>
        <v>14156523.675628373</v>
      </c>
      <c r="E14" s="28">
        <f t="shared" ref="E14:O14" si="2">E12*E13</f>
        <v>11945010.090089085</v>
      </c>
      <c r="F14" s="28">
        <f t="shared" si="2"/>
        <v>11955481.78823977</v>
      </c>
      <c r="G14" s="28">
        <f t="shared" si="2"/>
        <v>10220913.53690666</v>
      </c>
      <c r="H14" s="28">
        <f t="shared" si="2"/>
        <v>9843624.0650094058</v>
      </c>
      <c r="I14" s="28">
        <f t="shared" si="2"/>
        <v>10586448.227045998</v>
      </c>
      <c r="J14" s="28">
        <f t="shared" si="2"/>
        <v>0</v>
      </c>
      <c r="K14" s="28">
        <f t="shared" si="2"/>
        <v>0</v>
      </c>
      <c r="L14" s="28">
        <f t="shared" si="2"/>
        <v>0</v>
      </c>
      <c r="M14" s="28">
        <f t="shared" si="2"/>
        <v>0</v>
      </c>
      <c r="N14" s="28">
        <f t="shared" si="2"/>
        <v>0</v>
      </c>
      <c r="O14" s="28">
        <f t="shared" si="2"/>
        <v>0</v>
      </c>
      <c r="P14" s="29">
        <f>SUM(D14:O14)</f>
        <v>68708001.382919282</v>
      </c>
    </row>
    <row r="15" spans="1:16" x14ac:dyDescent="0.2">
      <c r="A15" s="9"/>
      <c r="B15" s="30"/>
      <c r="C15" s="31"/>
      <c r="D15" s="32"/>
      <c r="E15" s="32"/>
      <c r="F15" s="32"/>
      <c r="G15" s="32"/>
      <c r="H15" s="33"/>
      <c r="I15" s="33"/>
      <c r="J15" s="33"/>
      <c r="K15" s="33"/>
      <c r="L15" s="33"/>
      <c r="M15" s="33"/>
      <c r="N15" s="33"/>
      <c r="O15" s="33"/>
      <c r="P15" s="33"/>
    </row>
    <row r="16" spans="1:16" x14ac:dyDescent="0.2">
      <c r="A16" s="9">
        <f>MAX($A$11:A15)+1</f>
        <v>7</v>
      </c>
      <c r="B16" s="34" t="s">
        <v>12</v>
      </c>
      <c r="C16" s="2" t="s">
        <v>42</v>
      </c>
      <c r="D16" s="35">
        <v>27962148.909391817</v>
      </c>
      <c r="E16" s="35">
        <v>26876056.185393058</v>
      </c>
      <c r="F16" s="35">
        <v>22124819.612995975</v>
      </c>
      <c r="G16" s="35">
        <v>14326322.909271991</v>
      </c>
      <c r="H16" s="35">
        <v>10886490.067766486</v>
      </c>
      <c r="I16" s="35">
        <v>12999519.828583892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9">
        <f>SUM(D16:O16)</f>
        <v>115175357.51340321</v>
      </c>
    </row>
    <row r="17" spans="1:24" x14ac:dyDescent="0.2">
      <c r="A17" s="9"/>
      <c r="B17" s="3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24" x14ac:dyDescent="0.2">
      <c r="A18" s="9">
        <f>MAX($A$11:A17)+1</f>
        <v>8</v>
      </c>
      <c r="B18" s="26" t="s">
        <v>13</v>
      </c>
      <c r="C18" s="2" t="str">
        <f>"Line "&amp;A16&amp;" - Line "&amp;A14</f>
        <v>Line 7 - Line 6</v>
      </c>
      <c r="D18" s="28">
        <f t="shared" ref="D18:O18" si="3">+D16-D14</f>
        <v>13805625.233763443</v>
      </c>
      <c r="E18" s="28">
        <f t="shared" si="3"/>
        <v>14931046.095303973</v>
      </c>
      <c r="F18" s="28">
        <f t="shared" si="3"/>
        <v>10169337.824756205</v>
      </c>
      <c r="G18" s="28">
        <f t="shared" si="3"/>
        <v>4105409.3723653313</v>
      </c>
      <c r="H18" s="28">
        <f t="shared" si="3"/>
        <v>1042866.0027570799</v>
      </c>
      <c r="I18" s="28">
        <f t="shared" si="3"/>
        <v>2413071.6015378945</v>
      </c>
      <c r="J18" s="28">
        <f t="shared" si="3"/>
        <v>0</v>
      </c>
      <c r="K18" s="28">
        <f t="shared" si="3"/>
        <v>0</v>
      </c>
      <c r="L18" s="28">
        <f t="shared" si="3"/>
        <v>0</v>
      </c>
      <c r="M18" s="28">
        <f t="shared" si="3"/>
        <v>0</v>
      </c>
      <c r="N18" s="28">
        <f t="shared" si="3"/>
        <v>0</v>
      </c>
      <c r="O18" s="28">
        <f t="shared" si="3"/>
        <v>0</v>
      </c>
      <c r="P18" s="37"/>
    </row>
    <row r="19" spans="1:24" x14ac:dyDescent="0.2">
      <c r="A19" s="9">
        <f>MAX($A$11:A18)+1</f>
        <v>9</v>
      </c>
      <c r="B19" s="26" t="s">
        <v>14</v>
      </c>
      <c r="C19" s="38" t="str">
        <f>"Line "&amp;A18&amp;" + Prior Month Line "&amp;A19</f>
        <v>Line 8 + Prior Month Line 9</v>
      </c>
      <c r="D19" s="39">
        <f>+D18</f>
        <v>13805625.233763443</v>
      </c>
      <c r="E19" s="39">
        <f t="shared" ref="E19:J19" si="4">+E18+D19</f>
        <v>28736671.329067416</v>
      </c>
      <c r="F19" s="39">
        <f t="shared" si="4"/>
        <v>38906009.153823622</v>
      </c>
      <c r="G19" s="39">
        <f t="shared" si="4"/>
        <v>43011418.526188955</v>
      </c>
      <c r="H19" s="39">
        <f t="shared" si="4"/>
        <v>44054284.528946035</v>
      </c>
      <c r="I19" s="39">
        <f t="shared" si="4"/>
        <v>46467356.130483925</v>
      </c>
      <c r="J19" s="39">
        <f t="shared" si="4"/>
        <v>46467356.130483925</v>
      </c>
      <c r="K19" s="39">
        <f>+K18+J19</f>
        <v>46467356.130483925</v>
      </c>
      <c r="L19" s="39">
        <f>+L18+K19</f>
        <v>46467356.130483925</v>
      </c>
      <c r="M19" s="39">
        <f>+M18+L19</f>
        <v>46467356.130483925</v>
      </c>
      <c r="N19" s="39">
        <f>+N18+M19</f>
        <v>46467356.130483925</v>
      </c>
      <c r="O19" s="39">
        <f>+O18+N19</f>
        <v>46467356.130483925</v>
      </c>
      <c r="P19" s="40">
        <f>+O19</f>
        <v>46467356.130483925</v>
      </c>
    </row>
    <row r="20" spans="1:24" x14ac:dyDescent="0.2">
      <c r="A20" s="9"/>
      <c r="B20" s="26"/>
      <c r="C20" s="38"/>
      <c r="D20" s="41"/>
      <c r="E20" s="41"/>
      <c r="F20" s="41"/>
      <c r="G20" s="41"/>
      <c r="H20" s="42"/>
      <c r="I20" s="42"/>
      <c r="J20" s="42"/>
      <c r="K20" s="42"/>
      <c r="L20" s="42"/>
      <c r="M20" s="42"/>
      <c r="N20" s="42"/>
      <c r="O20" s="42"/>
      <c r="P20" s="43"/>
    </row>
    <row r="21" spans="1:24" x14ac:dyDescent="0.2">
      <c r="A21" s="44" t="s">
        <v>15</v>
      </c>
      <c r="B21" s="26"/>
      <c r="C21" s="45"/>
      <c r="D21" s="41"/>
      <c r="E21" s="41"/>
      <c r="F21" s="41"/>
      <c r="G21" s="41"/>
      <c r="H21" s="43"/>
      <c r="I21" s="43"/>
      <c r="J21" s="43"/>
      <c r="K21" s="43"/>
      <c r="L21" s="43"/>
      <c r="M21" s="43"/>
      <c r="N21" s="43"/>
      <c r="O21" s="43"/>
    </row>
    <row r="22" spans="1:24" x14ac:dyDescent="0.2">
      <c r="A22" s="9">
        <f>MAX($A$11:A21)+1</f>
        <v>10</v>
      </c>
      <c r="B22" s="34" t="s">
        <v>16</v>
      </c>
      <c r="C22" s="45"/>
      <c r="D22" s="41"/>
      <c r="E22" s="41"/>
      <c r="F22" s="41"/>
      <c r="G22" s="41"/>
      <c r="H22" s="43"/>
      <c r="I22" s="43"/>
      <c r="J22" s="43"/>
      <c r="K22" s="43"/>
      <c r="L22" s="43"/>
      <c r="M22" s="43"/>
      <c r="N22" s="43"/>
      <c r="O22" s="43"/>
      <c r="P22" s="33">
        <v>4000000</v>
      </c>
      <c r="Q22" s="43"/>
      <c r="R22" s="46"/>
      <c r="S22" s="46"/>
      <c r="T22" s="46"/>
    </row>
    <row r="23" spans="1:24" x14ac:dyDescent="0.2">
      <c r="A23" s="9">
        <f>MAX($A$11:A22)+1</f>
        <v>11</v>
      </c>
      <c r="B23" s="34" t="s">
        <v>17</v>
      </c>
      <c r="C23" s="45"/>
      <c r="D23" s="47">
        <f>D24</f>
        <v>9805625.2337634433</v>
      </c>
      <c r="E23" s="47">
        <f>E24-D24</f>
        <v>14931046.095303973</v>
      </c>
      <c r="F23" s="47">
        <f>F24-E24</f>
        <v>10169337.824756205</v>
      </c>
      <c r="G23" s="47">
        <f>G24-F24</f>
        <v>4105409.3723653331</v>
      </c>
      <c r="H23" s="47">
        <f>H24-G24</f>
        <v>1042866.0027570799</v>
      </c>
      <c r="I23" s="47">
        <f t="shared" ref="I23:O23" si="5">I24-H24</f>
        <v>2413071.6015378907</v>
      </c>
      <c r="J23" s="47">
        <f t="shared" si="5"/>
        <v>0</v>
      </c>
      <c r="K23" s="47">
        <f t="shared" si="5"/>
        <v>0</v>
      </c>
      <c r="L23" s="47">
        <f t="shared" si="5"/>
        <v>0</v>
      </c>
      <c r="M23" s="47">
        <f t="shared" si="5"/>
        <v>0</v>
      </c>
      <c r="N23" s="47">
        <f t="shared" si="5"/>
        <v>0</v>
      </c>
      <c r="O23" s="47">
        <f t="shared" si="5"/>
        <v>0</v>
      </c>
      <c r="P23" s="43"/>
      <c r="R23" s="46"/>
      <c r="S23" s="46"/>
      <c r="T23" s="46"/>
    </row>
    <row r="24" spans="1:24" ht="12.75" customHeight="1" x14ac:dyDescent="0.2">
      <c r="A24" s="9">
        <f>MAX($A$11:A23)+1</f>
        <v>12</v>
      </c>
      <c r="B24" s="34" t="s">
        <v>18</v>
      </c>
      <c r="C24" s="45"/>
      <c r="D24" s="39">
        <f t="shared" ref="D24:O24" si="6">IF(OR($P$19&gt;$P$22,$P$19&lt;-$P$22),IF(AND($P$19&gt;$P$22,D19&gt;$P$22),D19-$P$22,IF(AND($P$19&lt;-$P$22,D19&lt;-$P$22),D19+$P$22,0)),0)</f>
        <v>9805625.2337634433</v>
      </c>
      <c r="E24" s="39">
        <f t="shared" si="6"/>
        <v>24736671.329067416</v>
      </c>
      <c r="F24" s="39">
        <f t="shared" si="6"/>
        <v>34906009.153823622</v>
      </c>
      <c r="G24" s="39">
        <f t="shared" si="6"/>
        <v>39011418.526188955</v>
      </c>
      <c r="H24" s="39">
        <f t="shared" si="6"/>
        <v>40054284.528946035</v>
      </c>
      <c r="I24" s="39">
        <f t="shared" si="6"/>
        <v>42467356.130483925</v>
      </c>
      <c r="J24" s="39">
        <f t="shared" si="6"/>
        <v>42467356.130483925</v>
      </c>
      <c r="K24" s="39">
        <f t="shared" si="6"/>
        <v>42467356.130483925</v>
      </c>
      <c r="L24" s="39">
        <f t="shared" si="6"/>
        <v>42467356.130483925</v>
      </c>
      <c r="M24" s="39">
        <f t="shared" si="6"/>
        <v>42467356.130483925</v>
      </c>
      <c r="N24" s="39">
        <f t="shared" si="6"/>
        <v>42467356.130483925</v>
      </c>
      <c r="O24" s="39">
        <f t="shared" si="6"/>
        <v>42467356.130483925</v>
      </c>
      <c r="P24" s="39">
        <f>+O24</f>
        <v>42467356.130483925</v>
      </c>
      <c r="R24" s="46"/>
      <c r="S24" s="46"/>
      <c r="T24" s="46"/>
    </row>
    <row r="25" spans="1:24" x14ac:dyDescent="0.2">
      <c r="A25" s="9"/>
      <c r="B25" s="34"/>
      <c r="C25" s="4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3"/>
      <c r="R25" s="68" t="s">
        <v>19</v>
      </c>
      <c r="S25" s="68"/>
      <c r="T25" s="68"/>
      <c r="U25" s="68"/>
    </row>
    <row r="26" spans="1:24" x14ac:dyDescent="0.2">
      <c r="A26" s="30" t="s">
        <v>20</v>
      </c>
      <c r="B26" s="34"/>
      <c r="C26" s="45"/>
      <c r="D26" s="41"/>
      <c r="E26" s="41"/>
      <c r="F26" s="41"/>
      <c r="G26" s="41"/>
      <c r="H26" s="43"/>
      <c r="I26" s="43"/>
      <c r="J26" s="43"/>
      <c r="K26" s="43"/>
      <c r="L26" s="43"/>
      <c r="M26" s="43"/>
      <c r="N26" s="43"/>
      <c r="O26" s="43"/>
      <c r="R26" t="s">
        <v>21</v>
      </c>
      <c r="S26" s="48" t="s">
        <v>22</v>
      </c>
      <c r="T26" t="s">
        <v>23</v>
      </c>
      <c r="U26" t="s">
        <v>24</v>
      </c>
    </row>
    <row r="27" spans="1:24" ht="25.5" x14ac:dyDescent="0.2">
      <c r="A27" s="9">
        <f>MAX($A$11:A26)+1</f>
        <v>13</v>
      </c>
      <c r="B27" s="49" t="s">
        <v>25</v>
      </c>
      <c r="C27" s="45"/>
      <c r="D27" s="41">
        <f>IF(D24=0,0,IF(AND($P$19&gt;$P$22,$P$19&lt;$S$27),D23*$T$27,IF(AND($P$19&gt;$S$27,D24&lt;($S$27-$R$27)),D23*$T$27,IF(AND($P$19&gt;$S$27,D24&gt;($S$27-$R$27)),($S$27-$R$27)*$T$27,0))))</f>
        <v>3000000</v>
      </c>
      <c r="E27" s="41">
        <f>IF(E24=0,SUM($D$27:D27),IF(AND($P$19&gt;$P$22,$P$19&lt;$S$27),E23*$T$27,IF(AND($P$19&gt;$S$27,E24&lt;($S$27-$R$27)),E23*$T$27,IF(AND($P$19&gt;$S$27,E24&gt;($S$27-$R$27)),(($S$27-$R$27)*$T$27)-SUM($D$27:D27),0))))</f>
        <v>0</v>
      </c>
      <c r="F27" s="41">
        <f>IF(F24=0,SUM($D$27:E27),IF(AND($P$19&gt;$P$22,$P$19&lt;$S$27),F23*$T$27,IF(AND($P$19&gt;$S$27,F24&lt;($S$27-$R$27)),F23*$T$27,IF(AND($P$19&gt;$S$27,F24&gt;($S$27-$R$27)),(($S$27-$R$27)*$T$27)-SUM($D$27:E27),0))))</f>
        <v>0</v>
      </c>
      <c r="G27" s="41">
        <f>IF(G24=0,SUM($D$27:F27),IF(AND($P$19&gt;$P$22,$P$19&lt;$S$27),G23*$T$27,IF(AND($P$19&gt;$S$27,G24&lt;($S$27-$R$27)),G23*$T$27,IF(AND($P$19&gt;$S$27,G24&gt;($S$27-$R$27)),(($S$27-$R$27)*$T$27)-SUM($D$27:F27),0))))</f>
        <v>0</v>
      </c>
      <c r="H27" s="41">
        <f>IF(H24=0,SUM($D$27:G27),IF(AND($P$19&gt;$P$22,$P$19&lt;$S$27),H23*$T$27,IF(AND($P$19&gt;$S$27,H24&lt;($S$27-$R$27)),H23*$T$27,IF(AND($P$19&gt;$S$27,H24&gt;($S$27-$R$27)),(($S$27-$R$27)*$T$27)-SUM($D$27:G27),0))))</f>
        <v>0</v>
      </c>
      <c r="I27" s="41">
        <f>IF(I24=0,SUM($D$27:H27),IF(AND($P$19&gt;$P$22,$P$19&lt;$S$27),I23*$T$27,IF(AND($P$19&gt;$S$27,I24&lt;($S$27-$R$27)),I23*$T$27,IF(AND($P$19&gt;$S$27,I24&gt;($S$27-$R$27)),(($S$27-$R$27)*$T$27)-SUM($D$27:H27),0))))</f>
        <v>0</v>
      </c>
      <c r="J27" s="41">
        <f>IF(J24=0,SUM($D$27:I27),IF(AND($P$19&gt;$P$22,$P$19&lt;$S$27),J23*$T$27,IF(AND($P$19&gt;$S$27,J24&lt;($S$27-$R$27)),J23*$T$27,IF(AND($P$19&gt;$S$27,J24&gt;($S$27-$R$27)),(($S$27-$R$27)*$T$27)-SUM($D$27:I27),0))))</f>
        <v>0</v>
      </c>
      <c r="K27" s="41">
        <f>IF(K24=0,SUM($D$27:J27),IF(AND($P$19&gt;$P$22,$P$19&lt;$S$27),K23*$T$27,IF(AND($P$19&gt;$S$27,K24&lt;($S$27-$R$27)),K23*$T$27,IF(AND($P$19&gt;$S$27,K24&gt;($S$27-$R$27)),(($S$27-$R$27)*$T$27)-SUM($D$27:J27),0))))</f>
        <v>0</v>
      </c>
      <c r="L27" s="41">
        <f>IF(L24=0,SUM($D$27:K27),IF(AND($P$19&gt;$P$22,$P$19&lt;$S$27),L23*$T$27,IF(AND($P$19&gt;$S$27,L24&lt;($S$27-$R$27)),L23*$T$27,IF(AND($P$19&gt;$S$27,L24&gt;($S$27-$R$27)),(($S$27-$R$27)*$T$27)-SUM($D$27:K27),0))))</f>
        <v>0</v>
      </c>
      <c r="M27" s="41">
        <f>IF(M24=0,SUM($D$27:L27),IF(AND($P$19&gt;$P$22,$P$19&lt;$S$27),M23*$T$27,IF(AND($P$19&gt;$S$27,M24&lt;($S$27-$R$27)),M23*$T$27,IF(AND($P$19&gt;$S$27,M24&gt;($S$27-$R$27)),(($S$27-$R$27)*$T$27)-SUM($D$27:L27),0))))</f>
        <v>0</v>
      </c>
      <c r="N27" s="41">
        <f>IF(N24=0,SUM($D$27:M27),IF(AND($P$19&gt;$P$22,$P$19&lt;$S$27),N23*$T$27,IF(AND($P$19&gt;$S$27,N24&lt;($S$27-$R$27)),N23*$T$27,IF(AND($P$19&gt;$S$27,N24&gt;($S$27-$R$27)),(($S$27-$R$27)*$T$27)-SUM($D$27:M27),0))))</f>
        <v>0</v>
      </c>
      <c r="O27" s="41">
        <f>IF(O24=0,SUM($D$27:N27),IF(AND($P$19&gt;$P$22,$P$19&lt;$S$27),O23*$T$27,IF(AND($P$19&gt;$S$27,O24&lt;($S$27-$R$27)),O23*$T$27,IF(AND($P$19&gt;$S$27,O24&gt;($S$27-$R$27)),(($S$27-$R$27)*$T$27)-SUM($D$27:N27),0))))</f>
        <v>0</v>
      </c>
      <c r="P27" s="50"/>
      <c r="R27" s="11">
        <v>4000000</v>
      </c>
      <c r="S27" s="11">
        <v>10000000</v>
      </c>
      <c r="T27" s="51">
        <v>0.5</v>
      </c>
      <c r="U27" s="51">
        <v>0.5</v>
      </c>
    </row>
    <row r="28" spans="1:24" x14ac:dyDescent="0.2">
      <c r="A28" s="9">
        <f>MAX($A$11:A27)+1</f>
        <v>14</v>
      </c>
      <c r="B28" s="49" t="s">
        <v>26</v>
      </c>
      <c r="C28" s="45"/>
      <c r="D28" s="52">
        <f>IF(D24=0,0,IF(AND($P$19&gt;$R$28,D24&gt;($S$27-$R$27)),(D23-(D27/$T$27))*$T$28,0))</f>
        <v>3425062.7103870991</v>
      </c>
      <c r="E28" s="52">
        <f>IF(E24=0,SUM($D$28:D28),IF(AND($P$19&gt;$R$28,E24&gt;($S$27-$R$27)),(E23-(E27/$T$27))*$T$28,0))</f>
        <v>13437941.485773576</v>
      </c>
      <c r="F28" s="52">
        <f>IF(F24=0,SUM($D$28:E28),IF(AND($P$19&gt;$R$28,F24&gt;($S$27-$R$27)),(F23-(F27/$T$27))*$T$28,0))</f>
        <v>9152404.0422805846</v>
      </c>
      <c r="G28" s="52">
        <f>IF(G24=0,SUM($D$28:F28),IF(AND($P$19&gt;$R$28,G24&gt;($S$27-$R$27)),(G23-(G27/$T$27))*$T$28,0))</f>
        <v>3694868.4351288001</v>
      </c>
      <c r="H28" s="52">
        <f>IF(H24=0,SUM($D$28:G28),IF(AND($P$19&gt;$R$28,H24&gt;($S$27-$R$27)),(H23-(H27/$T$27))*$T$28,0))</f>
        <v>938579.40248137189</v>
      </c>
      <c r="I28" s="52">
        <f>IF(I24=0,SUM($D$28:H28),IF(AND($P$19&gt;$R$28,I24&gt;($S$27-$R$27)),(I23-(I27/$T$27))*$T$28,0))</f>
        <v>2171764.4413841018</v>
      </c>
      <c r="J28" s="52">
        <f>IF(J24=0,SUM($D$28:I28),IF(AND($P$19&gt;$R$28,J24&gt;($S$27-$R$27)),(J23-(J27/$T$27))*$T$28,0))</f>
        <v>0</v>
      </c>
      <c r="K28" s="52">
        <f>IF(K24=0,SUM($D$28:J28),IF(AND($P$19&gt;$R$28,K24&gt;($S$27-$R$27)),(K23-(K27/$T$27))*$T$28,0))</f>
        <v>0</v>
      </c>
      <c r="L28" s="52">
        <f>IF(L24=0,SUM($D$28:K28),IF(AND($P$19&gt;$R$28,L24&gt;($S$27-$R$27)),(L23-(L27/$T$27))*$T$28,0))</f>
        <v>0</v>
      </c>
      <c r="M28" s="52">
        <f>IF(M24=0,SUM($D$28:L28),IF(AND($P$19&gt;$R$28,M24&gt;($S$27-$R$27)),(M23-(M27/$T$27))*$T$28,0))</f>
        <v>0</v>
      </c>
      <c r="N28" s="52">
        <f>IF(N24=0,SUM($D$28:M28),IF(AND($P$19&gt;$R$28,N24&gt;($S$27-$R$27)),(N23-(N27/$T$27))*$T$28,0))</f>
        <v>0</v>
      </c>
      <c r="O28" s="52">
        <f>IF(O24=0,SUM($D$28:N28),IF(AND($P$19&gt;$R$28,O24&gt;($S$27-$R$27)),(O23-(O27/$T$27))*$T$28,0))</f>
        <v>0</v>
      </c>
      <c r="P28" s="50"/>
      <c r="R28" s="53">
        <v>10000000</v>
      </c>
      <c r="S28" s="33"/>
      <c r="T28" s="51">
        <v>0.9</v>
      </c>
      <c r="U28" s="51">
        <v>0.1</v>
      </c>
    </row>
    <row r="29" spans="1:24" ht="25.5" x14ac:dyDescent="0.2">
      <c r="A29" s="9">
        <f>MAX($A$11:A28)+1</f>
        <v>15</v>
      </c>
      <c r="B29" s="49" t="s">
        <v>27</v>
      </c>
      <c r="C29" s="45"/>
      <c r="D29" s="52">
        <f>IF(D24=0,0,IF(AND($P$19&lt;$R$29,$P$19&gt;$S$29),D23*$T$29,IF(AND($P$19&lt;$S$29,D24&gt;($S$29-$R$29)),D23*$T$29,IF(AND($P$19&lt;$S$29,D24&lt;($S$29-$R$29)),($S$29-$R$29),0))))</f>
        <v>0</v>
      </c>
      <c r="E29" s="52">
        <f>IF(E24=0,-SUM($D$29:D29),IF(AND($P$19&lt;$R$29,$P$19&gt;$S$29),E23*$T$29,IF(AND($P$19&lt;$S$29,E24&gt;($S$29-$R$29)),E23*$T$29,IF(AND($P$19&lt;$S$29,E24&lt;($S$29-$R$29)),(($S$29-$R$29)*$T$29)-SUM($D$29:D29),0))))</f>
        <v>0</v>
      </c>
      <c r="F29" s="52">
        <f>IF(F24=0,-SUM($D$29:E29),IF(AND($P$19&lt;$R$29,$P$19&gt;$S$29),F23*$T$29,IF(AND($P$19&lt;$S$29,F24&gt;($S$29-$R$29)),F23*$T$29,IF(AND($P$19&lt;$S$29,F24&lt;($S$29-$R$29)),(($S$29-$R$29)*$T$29)-SUM($D$29:E29),0))))</f>
        <v>0</v>
      </c>
      <c r="G29" s="52">
        <f>IF(G24=0,-SUM($D$29:F29),IF(AND($P$19&lt;$R$29,$P$19&gt;$S$29),G23*$T$29,IF(AND($P$19&lt;$S$29,G24&gt;($S$29-$R$29)),G23*$T$29,IF(AND($P$19&lt;$S$29,G24&lt;($S$29-$R$29)),(($S$29-$R$29)*$T$29)-SUM($D$29:F29),0))))</f>
        <v>0</v>
      </c>
      <c r="H29" s="52">
        <f>IF(H24=0,-SUM($D$29:G29),IF(AND($P$19&lt;$R$29,$P$19&gt;$S$29),H23*$T$29,IF(AND($P$19&lt;$S$29,H24&gt;($S$29-$R$29)),H23*$T$29,IF(AND($P$19&lt;$S$29,H24&lt;($S$29-$R$29)),(($S$29-$R$29)*$T$29)-SUM($D$29:G29),0))))</f>
        <v>0</v>
      </c>
      <c r="I29" s="52">
        <f>IF(I24=0,-SUM($D$29:H29),IF(AND($P$19&lt;$R$29,$P$19&gt;$S$29),I23*$T$29,IF(AND($P$19&lt;$S$29,I24&gt;($S$29-$R$29)),I23*$T$29,IF(AND($P$19&lt;$S$29,I24&lt;($S$29-$R$29)),(($S$29-$R$29)*$T$29)-SUM($D$29:H29),0))))</f>
        <v>0</v>
      </c>
      <c r="J29" s="52">
        <f>IF(J24=0,-SUM($D$29:I29),IF(AND($P$19&lt;$R$29,$P$19&gt;$S$29),J23*$T$29,IF(AND($P$19&lt;$S$29,J24&gt;($S$29-$R$29)),J23*$T$29,IF(AND($P$19&lt;$S$29,J24&lt;($S$29-$R$29)),(($S$29-$R$29)*$T$29)-SUM($D$29:I29),0))))</f>
        <v>0</v>
      </c>
      <c r="K29" s="52">
        <f>IF(K24=0,-SUM($D$29:J29),IF(AND($P$19&lt;$R$29,$P$19&gt;$S$29),K23*$T$29,IF(AND($P$19&lt;$S$29,K24&gt;($S$29-$R$29)),K23*$T$29,IF(AND($P$19&lt;$S$29,K24&lt;($S$29-$R$29)),(($S$29-$R$29)*$T$29)-SUM($D$29:J29),0))))</f>
        <v>0</v>
      </c>
      <c r="L29" s="52">
        <f>IF(L24=0,-SUM($D$29:K29),IF(AND($P$19&lt;$R$29,$P$19&gt;$S$29),L23*$T$29,IF(AND($P$19&lt;$S$29,L24&gt;($S$29-$R$29)),L23*$T$29,IF(AND($P$19&lt;$S$29,L24&lt;($S$29-$R$29)),(($S$29-$R$29)*$T$29)-SUM($D$29:K29),0))))</f>
        <v>0</v>
      </c>
      <c r="M29" s="52">
        <f>IF(M24=0,-SUM($D$29:L29),IF(AND($P$19&lt;$R$29,$P$19&gt;$S$29),M23*$T$29,IF(AND($P$19&lt;$S$29,M24&gt;($S$29-$R$29)),M23*$T$29,IF(AND($P$19&lt;$S$29,M24&lt;($S$29-$R$29)),(($S$29-$R$29)*$T$29)-SUM($D$29:L29),0))))</f>
        <v>0</v>
      </c>
      <c r="N29" s="52">
        <f>IF(N24=0,-SUM($D$29:M29),IF(AND($P$19&lt;$R$29,$P$19&gt;$S$29),N23*$T$29,IF(AND($P$19&lt;$S$29,N24&gt;($S$29-$R$29)),N23*$T$29,IF(AND($P$19&lt;$S$29,N24&lt;($S$29-$R$29)),(($S$29-$R$29)*$T$29)-SUM($D$29:M29),0))))</f>
        <v>0</v>
      </c>
      <c r="O29" s="52">
        <f>IF(O24=0,-SUM($D$29:N29),IF(AND($P$19&lt;$R$29,$P$19&gt;$S$29),O23*$T$29,IF(AND($P$19&lt;$S$29,O24&gt;($S$29-$R$29)),O23*$T$29,IF(AND($P$19&lt;$S$29,O24&lt;($S$29-$R$29)),(($S$29-$R$29)*$T$29)-SUM($D$29:N29),0))))</f>
        <v>0</v>
      </c>
      <c r="P29" s="50"/>
      <c r="R29" s="53">
        <v>-4000000</v>
      </c>
      <c r="S29" s="53">
        <v>-10000000</v>
      </c>
      <c r="T29" s="51">
        <v>0.75</v>
      </c>
      <c r="U29" s="51">
        <v>0.25</v>
      </c>
      <c r="X29" s="43"/>
    </row>
    <row r="30" spans="1:24" x14ac:dyDescent="0.2">
      <c r="A30" s="9">
        <f>MAX($A$11:A29)+1</f>
        <v>16</v>
      </c>
      <c r="B30" s="49" t="s">
        <v>28</v>
      </c>
      <c r="C30" s="45"/>
      <c r="D30" s="52">
        <f>IF(D24=0,0,IF(AND($P$19&lt;$R$30,D24&lt;($S$29-$R$29)),(D23-(D29/$T$29))*$T$30,0))</f>
        <v>0</v>
      </c>
      <c r="E30" s="52">
        <f>IF(E24=0,-SUM($D$30:D30),IF(AND($P$19&lt;$R$30,E24&lt;($S$29-$R$29)),(E23-(E29/$T$29))*$T$30,0))</f>
        <v>0</v>
      </c>
      <c r="F30" s="52">
        <f>IF(F24=0,-SUM($D$30:E30),IF(AND($P$19&lt;$R$30,F24&lt;($S$29-$R$29)),(F23-(F29/$T$29))*$T$30,0))</f>
        <v>0</v>
      </c>
      <c r="G30" s="52">
        <f>IF(G24=0,-SUM($D$30:F30),IF(AND($P$19&lt;$R$30,G24&lt;($S$29-$R$29)),(G23-(G29/$T$29))*$T$30,0))</f>
        <v>0</v>
      </c>
      <c r="H30" s="52">
        <f>IF(H24=0,-SUM($D$30:G30),IF(AND($P$19&lt;$R$30,H24&lt;($S$29-$R$29)),(H23-(H29/$T$29))*$T$30,0))</f>
        <v>0</v>
      </c>
      <c r="I30" s="52">
        <f>IF(I24=0,-SUM($D$30:H30),IF(AND($P$19&lt;$R$30,I24&lt;($S$29-$R$29)),(I23-(I29/$T$29))*$T$30,0))</f>
        <v>0</v>
      </c>
      <c r="J30" s="52">
        <f>IF(J24=0,-SUM($D$30:I30),IF(AND($P$19&lt;$R$30,J24&lt;($S$29-$R$29)),(J23-(J29/$T$29))*$T$30,0))</f>
        <v>0</v>
      </c>
      <c r="K30" s="52">
        <f>IF(K24=0,-SUM($D$30:J30),IF(AND($P$19&lt;$R$30,K24&lt;($S$29-$R$29)),(K23-(K29/$T$29))*$T$30,0))</f>
        <v>0</v>
      </c>
      <c r="L30" s="52">
        <f>IF(L24=0,-SUM($D$30:K30),IF(AND($P$19&lt;$R$30,L24&lt;($S$29-$R$29)),(L23-(L29/$T$29))*$T$30,0))</f>
        <v>0</v>
      </c>
      <c r="M30" s="52">
        <f>IF(M24=0,-SUM($D$30:L30),IF(AND($P$19&lt;$R$30,M24&lt;($S$29-$R$29)),(M23-(M29/$T$29))*$T$30,0))</f>
        <v>0</v>
      </c>
      <c r="N30" s="52">
        <f>IF(N24=0,-SUM($D$30:M30),IF(AND($P$19&lt;$R$30,N24&lt;($S$29-$R$29)),(N23-(N29/$T$29))*$T$30,0))</f>
        <v>0</v>
      </c>
      <c r="O30" s="52">
        <f>IF(O24=0,-SUM($D$30:N30),IF(AND($P$19&lt;$R$30,O24&lt;($S$29-$R$29)),(O23-(O29/$T$29))*$T$30,0))</f>
        <v>0</v>
      </c>
      <c r="P30" s="50"/>
      <c r="R30" s="53">
        <v>-10000000</v>
      </c>
      <c r="S30" s="33"/>
      <c r="T30" s="51">
        <v>0.9</v>
      </c>
      <c r="U30" s="51">
        <v>0.1</v>
      </c>
    </row>
    <row r="31" spans="1:24" x14ac:dyDescent="0.2">
      <c r="A31" s="9">
        <f>MAX($A$11:A30)+1</f>
        <v>17</v>
      </c>
      <c r="B31" s="49" t="s">
        <v>29</v>
      </c>
      <c r="C31" s="45"/>
      <c r="D31" s="39">
        <f t="shared" ref="D31:O31" si="7">SUM(D27:D30)</f>
        <v>6425062.7103870995</v>
      </c>
      <c r="E31" s="39">
        <f t="shared" si="7"/>
        <v>13437941.485773576</v>
      </c>
      <c r="F31" s="39">
        <f t="shared" si="7"/>
        <v>9152404.0422805846</v>
      </c>
      <c r="G31" s="39">
        <f t="shared" si="7"/>
        <v>3694868.4351288001</v>
      </c>
      <c r="H31" s="39">
        <f t="shared" si="7"/>
        <v>938579.40248137189</v>
      </c>
      <c r="I31" s="39">
        <f t="shared" si="7"/>
        <v>2171764.4413841018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39">
        <f t="shared" si="7"/>
        <v>0</v>
      </c>
      <c r="P31" s="39">
        <f>SUM(D31:O31)</f>
        <v>35820620.517435528</v>
      </c>
    </row>
    <row r="32" spans="1:24" x14ac:dyDescent="0.2">
      <c r="A32" s="9"/>
      <c r="B32" s="54"/>
      <c r="C32" s="4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7" x14ac:dyDescent="0.2">
      <c r="A33" s="30" t="s">
        <v>30</v>
      </c>
      <c r="B33" s="49"/>
      <c r="C33" s="45"/>
      <c r="D33" s="56"/>
      <c r="E33" s="56"/>
      <c r="F33" s="56"/>
      <c r="G33" s="56"/>
      <c r="N33" s="43"/>
      <c r="O33" s="46"/>
    </row>
    <row r="34" spans="1:17" x14ac:dyDescent="0.2">
      <c r="A34" s="9">
        <f>MAX($A$11:A33)+1</f>
        <v>18</v>
      </c>
      <c r="B34" s="49" t="s">
        <v>31</v>
      </c>
      <c r="C34" s="2" t="s">
        <v>32</v>
      </c>
      <c r="D34" s="57">
        <v>6.3100000000000003E-2</v>
      </c>
      <c r="E34" s="57">
        <f>$D$34</f>
        <v>6.3100000000000003E-2</v>
      </c>
      <c r="F34" s="57">
        <f t="shared" ref="F34" si="8">$D$34</f>
        <v>6.3100000000000003E-2</v>
      </c>
      <c r="G34" s="57">
        <v>7.4999999999999997E-2</v>
      </c>
      <c r="H34" s="57">
        <f>$G$34</f>
        <v>7.4999999999999997E-2</v>
      </c>
      <c r="I34" s="57">
        <f>$G$34</f>
        <v>7.4999999999999997E-2</v>
      </c>
      <c r="J34" s="57">
        <v>8.0199999999999994E-2</v>
      </c>
      <c r="K34" s="57">
        <f>$J$34</f>
        <v>8.0199999999999994E-2</v>
      </c>
      <c r="L34" s="57">
        <f>$J$34</f>
        <v>8.0199999999999994E-2</v>
      </c>
      <c r="M34" s="57">
        <f t="shared" ref="M34:O34" si="9">$J$34</f>
        <v>8.0199999999999994E-2</v>
      </c>
      <c r="N34" s="57">
        <f t="shared" si="9"/>
        <v>8.0199999999999994E-2</v>
      </c>
      <c r="O34" s="57">
        <f t="shared" si="9"/>
        <v>8.0199999999999994E-2</v>
      </c>
    </row>
    <row r="35" spans="1:17" x14ac:dyDescent="0.2">
      <c r="A35" s="9">
        <f>MAX($A$11:A34)+1</f>
        <v>19</v>
      </c>
      <c r="B35" s="26" t="s">
        <v>33</v>
      </c>
      <c r="D35" s="58">
        <v>0</v>
      </c>
      <c r="E35" s="11">
        <f t="shared" ref="E35:O35" si="10">+D38</f>
        <v>6441955.2710964922</v>
      </c>
      <c r="F35" s="11">
        <f t="shared" si="10"/>
        <v>19949101.292826932</v>
      </c>
      <c r="G35" s="11">
        <f t="shared" si="10"/>
        <v>29230467.55503346</v>
      </c>
      <c r="H35" s="11">
        <f t="shared" si="10"/>
        <v>33119572.876240999</v>
      </c>
      <c r="I35" s="11">
        <f t="shared" si="10"/>
        <v>34268082.669831626</v>
      </c>
      <c r="J35" s="11">
        <f t="shared" si="10"/>
        <v>36660809.391781501</v>
      </c>
      <c r="K35" s="11">
        <f t="shared" si="10"/>
        <v>36905825.801216573</v>
      </c>
      <c r="L35" s="11">
        <f t="shared" si="10"/>
        <v>37152479.736988038</v>
      </c>
      <c r="M35" s="11">
        <f t="shared" si="10"/>
        <v>37400782.143230245</v>
      </c>
      <c r="N35" s="11">
        <f t="shared" si="10"/>
        <v>37650744.037220836</v>
      </c>
      <c r="O35" s="11">
        <f t="shared" si="10"/>
        <v>37902376.509869598</v>
      </c>
      <c r="Q35" s="59"/>
    </row>
    <row r="36" spans="1:17" x14ac:dyDescent="0.2">
      <c r="A36" s="9">
        <f>MAX($A$11:A35)+1</f>
        <v>20</v>
      </c>
      <c r="B36" s="26" t="s">
        <v>34</v>
      </c>
      <c r="C36" s="2" t="str">
        <f>"Line "&amp;$A$35&amp;""</f>
        <v>Line 19</v>
      </c>
      <c r="D36" s="60">
        <f t="shared" ref="D36:O36" si="11">+D31</f>
        <v>6425062.7103870995</v>
      </c>
      <c r="E36" s="60">
        <f t="shared" si="11"/>
        <v>13437941.485773576</v>
      </c>
      <c r="F36" s="60">
        <f t="shared" si="11"/>
        <v>9152404.0422805846</v>
      </c>
      <c r="G36" s="60">
        <f t="shared" si="11"/>
        <v>3694868.4351288001</v>
      </c>
      <c r="H36" s="60">
        <f t="shared" si="11"/>
        <v>938579.40248137189</v>
      </c>
      <c r="I36" s="60">
        <f t="shared" si="11"/>
        <v>2171764.4413841018</v>
      </c>
      <c r="J36" s="60">
        <f t="shared" si="11"/>
        <v>0</v>
      </c>
      <c r="K36" s="60">
        <f t="shared" si="11"/>
        <v>0</v>
      </c>
      <c r="L36" s="60">
        <f t="shared" si="11"/>
        <v>0</v>
      </c>
      <c r="M36" s="60">
        <f t="shared" si="11"/>
        <v>0</v>
      </c>
      <c r="N36" s="60">
        <f t="shared" si="11"/>
        <v>0</v>
      </c>
      <c r="O36" s="60">
        <f t="shared" si="11"/>
        <v>0</v>
      </c>
      <c r="Q36" s="60"/>
    </row>
    <row r="37" spans="1:17" x14ac:dyDescent="0.2">
      <c r="A37" s="9">
        <f>MAX($A$11:A36)+1</f>
        <v>21</v>
      </c>
      <c r="B37" s="21" t="s">
        <v>35</v>
      </c>
      <c r="C37" s="61" t="str">
        <f>"Line "&amp;$A$35&amp;" + ( Line "&amp;A36&amp;" x 50%) x Line "&amp;$A$34&amp;"/12"</f>
        <v>Line 19 + ( Line 20 x 50%) x Line 18/12</v>
      </c>
      <c r="D37" s="62">
        <f>+((D36*0.5)+D35)*D34/12</f>
        <v>16892.56070939275</v>
      </c>
      <c r="E37" s="62">
        <f t="shared" ref="E37:O37" si="12">+((E36*0.5)+E35)*E34/12</f>
        <v>69204.535956862077</v>
      </c>
      <c r="F37" s="62">
        <f t="shared" si="12"/>
        <v>128962.21992594433</v>
      </c>
      <c r="G37" s="62">
        <f t="shared" si="12"/>
        <v>194236.88607873663</v>
      </c>
      <c r="H37" s="62">
        <f t="shared" si="12"/>
        <v>209930.39110926053</v>
      </c>
      <c r="I37" s="62">
        <f t="shared" si="12"/>
        <v>220962.28056577299</v>
      </c>
      <c r="J37" s="62">
        <f t="shared" si="12"/>
        <v>245016.40943507303</v>
      </c>
      <c r="K37" s="62">
        <f t="shared" si="12"/>
        <v>246653.93577146405</v>
      </c>
      <c r="L37" s="62">
        <f t="shared" si="12"/>
        <v>248302.40624220335</v>
      </c>
      <c r="M37" s="62">
        <f t="shared" si="12"/>
        <v>249961.89399058875</v>
      </c>
      <c r="N37" s="62">
        <f t="shared" si="12"/>
        <v>251632.47264875923</v>
      </c>
      <c r="O37" s="62">
        <f t="shared" si="12"/>
        <v>253314.21634096178</v>
      </c>
    </row>
    <row r="38" spans="1:17" ht="13.5" thickBot="1" x14ac:dyDescent="0.25">
      <c r="A38" s="9">
        <f>MAX($A$11:A37)+1</f>
        <v>22</v>
      </c>
      <c r="B38" s="63" t="s">
        <v>36</v>
      </c>
      <c r="C38" s="61" t="str">
        <f>"∑ Lines "&amp;$A$35&amp;":"&amp;A37&amp;""</f>
        <v>∑ Lines 19:21</v>
      </c>
      <c r="D38" s="64">
        <f>SUM(D35:D37)</f>
        <v>6441955.2710964922</v>
      </c>
      <c r="E38" s="64">
        <f t="shared" ref="E38:O38" si="13">SUM(E35:E37)</f>
        <v>19949101.292826932</v>
      </c>
      <c r="F38" s="64">
        <f t="shared" si="13"/>
        <v>29230467.55503346</v>
      </c>
      <c r="G38" s="64">
        <f t="shared" si="13"/>
        <v>33119572.876240999</v>
      </c>
      <c r="H38" s="64">
        <f t="shared" si="13"/>
        <v>34268082.669831626</v>
      </c>
      <c r="I38" s="64">
        <f t="shared" si="13"/>
        <v>36660809.391781501</v>
      </c>
      <c r="J38" s="64">
        <f t="shared" si="13"/>
        <v>36905825.801216573</v>
      </c>
      <c r="K38" s="64">
        <f t="shared" si="13"/>
        <v>37152479.736988038</v>
      </c>
      <c r="L38" s="64">
        <f t="shared" si="13"/>
        <v>37400782.143230245</v>
      </c>
      <c r="M38" s="64">
        <f t="shared" si="13"/>
        <v>37650744.037220836</v>
      </c>
      <c r="N38" s="64">
        <f t="shared" si="13"/>
        <v>37902376.509869598</v>
      </c>
      <c r="O38" s="64">
        <f t="shared" si="13"/>
        <v>38155690.726210557</v>
      </c>
      <c r="P38" s="64">
        <f>O38</f>
        <v>38155690.726210557</v>
      </c>
    </row>
    <row r="39" spans="1:17" ht="13.5" thickTop="1" x14ac:dyDescent="0.2">
      <c r="A39" s="9"/>
    </row>
    <row r="41" spans="1:17" x14ac:dyDescent="0.2">
      <c r="H41" s="65"/>
    </row>
  </sheetData>
  <mergeCells count="4">
    <mergeCell ref="F7:G7"/>
    <mergeCell ref="F8:G8"/>
    <mergeCell ref="F9:G9"/>
    <mergeCell ref="R25:U25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275119F95E0345AAA4592BEB58C51B" ma:contentTypeVersion="44" ma:contentTypeDescription="" ma:contentTypeScope="" ma:versionID="18a834ae9b7ad73e987a326440f47d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EB793B-E065-4E75-8CC6-B4A317BFC542}"/>
</file>

<file path=customXml/itemProps2.xml><?xml version="1.0" encoding="utf-8"?>
<ds:datastoreItem xmlns:ds="http://schemas.openxmlformats.org/officeDocument/2006/customXml" ds:itemID="{5F87A543-6337-414F-88C5-53E591E9DFF8}"/>
</file>

<file path=customXml/itemProps3.xml><?xml version="1.0" encoding="utf-8"?>
<ds:datastoreItem xmlns:ds="http://schemas.openxmlformats.org/officeDocument/2006/customXml" ds:itemID="{A9FE6949-7ACF-402C-8CC1-A98A3C6B0761}"/>
</file>

<file path=customXml/itemProps4.xml><?xml version="1.0" encoding="utf-8"?>
<ds:datastoreItem xmlns:ds="http://schemas.openxmlformats.org/officeDocument/2006/customXml" ds:itemID="{4995360C-AADE-4A7F-B85A-710AFCB88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JP-2 PCAM Calculation</vt:lpstr>
      <vt:lpstr>'Exhibit JP-2 PCAM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2023-09-07T18:28:37Z</dcterms:created>
  <dcterms:modified xsi:type="dcterms:W3CDTF">2023-09-14T15:07:26Z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0x0101006E56B4D1795A2E4DB2F0B01679ED314A0045275119F95E0345AAA4592BEB58C51B</vt:lpwstr>
  </property>
  <property fmtid="{D5CDD505-2E9C-101B-9397-08002B2CF9AE}" pid="3" name="_docset_NoMedatataSyncRequired">
    <vt:lpwstr>False</vt:lpwstr>
  </property>
</Properties>
</file>