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1700" tabRatio="719" activeTab="1"/>
  </bookViews>
  <sheets>
    <sheet name="Background" sheetId="21" r:id="rId1"/>
    <sheet name="Conservation Report" sheetId="18" r:id="rId2"/>
    <sheet name="Data" sheetId="19" state="hidden" r:id="rId3"/>
  </sheets>
  <externalReferences>
    <externalReference r:id="rId4"/>
  </externalReference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Report'!$D$29</definedName>
    <definedName name="CON_2018_Industrial_Expend">'Conservation Report'!$D$18</definedName>
    <definedName name="CON_2018_Industrial_MWH">'Conservation Report'!$C$18</definedName>
    <definedName name="CON_2018_MWH">'Conservation Report'!$C$29</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Report'!$D$28</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Report'!$G$29</definedName>
    <definedName name="CON_2019_Industrial_Expend">'Conservation Report'!$G$18</definedName>
    <definedName name="CON_2019_Industrial_MWH">'Conservation Report'!$F$18</definedName>
    <definedName name="CON_2019_MWH">'Conservation Report'!$F$29</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Report'!$G$28</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Report'!$H$8</definedName>
    <definedName name="CON_Report_Date">'Conservation Report'!$B$6</definedName>
    <definedName name="CON_Target_2018_2019">'Conservation Report'!$H$9</definedName>
    <definedName name="CON_Utility_Name">'Conservation Report'!$B$5</definedName>
    <definedName name="_xlnm.Print_Area" localSheetId="1">'Conservation Report'!$A$3:$I$35</definedName>
    <definedName name="UtilityList">#REF!</definedName>
  </definedNames>
  <calcPr calcId="162913"/>
</workbook>
</file>

<file path=xl/calcChain.xml><?xml version="1.0" encoding="utf-8"?>
<calcChain xmlns="http://schemas.openxmlformats.org/spreadsheetml/2006/main">
  <c r="H9" i="18" l="1"/>
  <c r="H8" i="18"/>
  <c r="D18" i="18"/>
  <c r="C18" i="18"/>
  <c r="D17" i="18"/>
  <c r="C17" i="18"/>
  <c r="AY2" i="19" l="1"/>
  <c r="AW2" i="19" l="1"/>
  <c r="A2" i="19" l="1"/>
  <c r="AS2" i="19" l="1"/>
  <c r="W2" i="19"/>
  <c r="E2" i="19"/>
  <c r="AX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9" i="18" l="1"/>
  <c r="AD2" i="19" s="1"/>
  <c r="F29" i="18"/>
  <c r="AG2" i="19" s="1"/>
  <c r="B31" i="18" l="1"/>
  <c r="D29" i="18" l="1"/>
  <c r="H2" i="19" s="1"/>
  <c r="C29" i="18"/>
  <c r="H10" i="18" s="1"/>
  <c r="K2" i="19" l="1"/>
</calcChain>
</file>

<file path=xl/sharedStrings.xml><?xml version="1.0" encoding="utf-8"?>
<sst xmlns="http://schemas.openxmlformats.org/spreadsheetml/2006/main" count="127" uniqueCount="122">
  <si>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</si>
  <si>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</si>
  <si>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</si>
  <si>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</si>
  <si>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</si>
  <si>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</si>
  <si>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</si>
  <si>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</si>
  <si>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</si>
  <si>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</si>
  <si>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</si>
  <si>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</si>
  <si>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</si>
  <si>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</si>
  <si>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</si>
  <si>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</si>
  <si>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</si>
  <si>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</si>
  <si>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</si>
  <si>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</si>
  <si>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</si>
  <si>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</si>
  <si>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</si>
  <si>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</si>
  <si>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</si>
  <si>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</si>
  <si>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</si>
  <si>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</si>
  <si>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</si>
  <si>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</si>
  <si>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</si>
  <si>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</si>
  <si>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</si>
  <si>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</si>
  <si>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</si>
  <si>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</si>
  <si>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</si>
  <si>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</si>
  <si>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</si>
  <si>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</si>
  <si>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</si>
  <si>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</si>
  <si>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</si>
  <si>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</si>
  <si>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</si>
  <si>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</si>
  <si>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</si>
  <si>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</si>
  <si>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</si>
  <si>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Achievement 2018</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</si>
  <si>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</si>
  <si>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</si>
  <si>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</si>
  <si>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</si>
  <si>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</si>
  <si>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</si>
  <si>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</si>
  <si>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</si>
  <si>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</si>
  <si>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</si>
  <si>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</si>
  <si>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</si>
  <si>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</si>
  <si>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</si>
  <si>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</si>
  <si>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</si>
  <si>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</si>
  <si>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</si>
  <si>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</si>
  <si>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</si>
  <si>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</si>
  <si>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</si>
  <si>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</si>
  <si>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</si>
  <si>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</si>
  <si>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</si>
  <si>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</si>
  <si>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</si>
  <si>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</si>
  <si>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</si>
  <si>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</si>
  <si>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</si>
  <si>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</si>
  <si>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</si>
  <si>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</si>
  <si>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</si>
  <si>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</si>
  <si>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</si>
  <si>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</si>
  <si>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</si>
  <si>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</si>
  <si>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</si>
  <si>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</si>
  <si>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</si>
  <si>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</si>
  <si>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</si>
  <si>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Published April 22, 2019</t>
  </si>
  <si>
    <t>Puget Sound Energy</t>
  </si>
  <si>
    <t>Dan Anderson, Budget, Administration &amp; Regulatory</t>
  </si>
  <si>
    <t>425 424-6837</t>
  </si>
  <si>
    <t>Dan.Anderson@pse.com</t>
  </si>
  <si>
    <t>Pilots</t>
  </si>
  <si>
    <t>2018 Savings Terminology</t>
  </si>
  <si>
    <t>Definition</t>
  </si>
  <si>
    <t>CPA Pro-Rata Share</t>
  </si>
  <si>
    <t>Pro-rata share of the utilities IRP's Conservation Potential Assessment's 10-year potential or 2 year total (whichever is greater).
Includes NEEA.</t>
  </si>
  <si>
    <t>EIA Target</t>
  </si>
  <si>
    <t>[(CPA Pro-Rata Share) + (other programs/measures with confident savings that were omitted from CPA)]</t>
  </si>
  <si>
    <r>
      <t xml:space="preserve">Decoupling </t>
    </r>
    <r>
      <rPr>
        <b/>
        <sz val="11"/>
        <color rgb="FF000000"/>
        <rFont val="Calibri"/>
        <family val="2"/>
      </rPr>
      <t>Threshold</t>
    </r>
  </si>
  <si>
    <t>[EIA Target * 0.05]</t>
  </si>
  <si>
    <t>Total Utility Conservation Goal/Achievement</t>
  </si>
  <si>
    <r>
      <t>All savings programs funded by Conservation Riders 
[EIA Target + Decoupling Threshold</t>
    </r>
    <r>
      <rPr>
        <sz val="11"/>
        <color theme="1"/>
        <rFont val="Calibri"/>
        <family val="2"/>
      </rPr>
      <t>]</t>
    </r>
  </si>
  <si>
    <t>Excluded Programs</t>
  </si>
  <si>
    <t>Programs approved by the Commission to be excluded from a Penalty Threshold. For last three biennia, these included NEEA and Pilots with Uncertain Savings.</t>
  </si>
  <si>
    <t>Utility-Specific Conservation Goal/Achievement</t>
  </si>
  <si>
    <t>[Total Utility Conservation Goal/Achievement – (Excluded programs (for instance, NEEA, Pilots with uncertain savings, retail wheeling accounts, etc.) + adjustments)]</t>
  </si>
  <si>
    <t>EIA Penalty Threshold</t>
  </si>
  <si>
    <t xml:space="preserve">[Utility-Specific Conservation - Decoupling Threshold] </t>
  </si>
  <si>
    <t>Excess Savings
(Dept of Commerce driven)</t>
  </si>
  <si>
    <r>
      <rPr>
        <sz val="11"/>
        <color rgb="FF00B050"/>
        <rFont val="Calibri"/>
        <family val="2"/>
      </rPr>
      <t>(Referencing results)</t>
    </r>
    <r>
      <rPr>
        <sz val="11"/>
        <color rgb="FF000000"/>
        <rFont val="Calibri"/>
        <family val="2"/>
      </rPr>
      <t xml:space="preserve">
The difference of [Total Utility</t>
    </r>
    <r>
      <rPr>
        <sz val="11"/>
        <color rgb="FF000000"/>
        <rFont val="Calibri"/>
        <family val="2"/>
      </rPr>
      <t xml:space="preserve"> Conservation Achievement – Total Utility Conservation Goal]</t>
    </r>
  </si>
  <si>
    <t>PSE Excess Savings for Penalty Thresholds
(UTC Driven)</t>
  </si>
  <si>
    <r>
      <rPr>
        <sz val="11"/>
        <color rgb="FF00B050"/>
        <rFont val="Calibri"/>
        <family val="2"/>
      </rPr>
      <t xml:space="preserve">(Referencing results) </t>
    </r>
    <r>
      <rPr>
        <sz val="11"/>
        <color rgb="FF000000"/>
        <rFont val="Calibri"/>
        <family val="2"/>
      </rPr>
      <t xml:space="preserve">
The difference of Total </t>
    </r>
    <r>
      <rPr>
        <sz val="11"/>
        <color theme="1"/>
        <rFont val="Calibri"/>
        <family val="2"/>
      </rPr>
      <t>Utility-Specific</t>
    </r>
    <r>
      <rPr>
        <sz val="11"/>
        <color rgb="FF000000"/>
        <rFont val="Calibri"/>
        <family val="2"/>
      </rPr>
      <t xml:space="preserve"> Conservation Achievement - Goal.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</si>
</sst>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23"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b/>
      <sz val="12"/>
      <color rgb="FF000000"/>
      <name val="Calibri"/>
      <family val="2"/>
    </font>
    <font>
      <b/>
      <sz val="11"/>
      <color rgb="FF000000"/>
      <name val="Calibri"/>
      <family val="2"/>
    </font>
    <font>
      <sz val="11"/>
      <color rgb="FF000000"/>
      <name val="Calibri"/>
      <family val="2"/>
    </font>
    <font>
      <sz val="11"/>
      <color theme="1"/>
      <name val="Calibri"/>
      <family val="2"/>
    </font>
    <font>
      <sz val="11"/>
      <color rgb="FF00B050"/>
      <name val="Calibri"/>
      <family val="2"/>
    </font>
    <font>
      <b/>
      <sz val="11"/>
      <color theme="1"/>
      <name val="Calibri"/>
      <family val="2"/>
    </font>
  </fonts>
  <fills count="16">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Trellis">
        <bgColor theme="6" tint="0.79998168889431442"/>
      </patternFill>
    </fill>
    <fill>
      <patternFill patternType="lightTrellis">
        <bgColor theme="0"/>
      </patternFill>
    </fill>
    <fill>
      <patternFill patternType="lightTrellis">
        <fgColor theme="0" tint="-0.499984740745262"/>
        <bgColor rgb="FFE4E4E4"/>
      </patternFill>
    </fill>
    <fill>
      <patternFill patternType="lightTrellis">
        <bgColor theme="4" tint="0.79998168889431442"/>
      </patternFill>
    </fill>
    <fill>
      <patternFill patternType="solid">
        <fgColor rgb="FFEBF1DE"/>
        <bgColor indexed="64"/>
      </patternFill>
    </fill>
    <fill>
      <patternFill patternType="solid">
        <fgColor theme="0" tint="-4.9989318521683403E-2"/>
        <bgColor indexed="64"/>
      </patternFill>
    </fill>
    <fill>
      <patternFill patternType="solid">
        <fgColor rgb="FFDDEBF7"/>
        <bgColor indexed="64"/>
      </patternFill>
    </fill>
    <fill>
      <patternFill patternType="solid">
        <fgColor theme="9" tint="0.59999389629810485"/>
        <bgColor indexed="64"/>
      </patternFill>
    </fill>
  </fills>
  <borders count="24">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
      <left/>
      <right/>
      <top style="thin">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87">
    <xf numFmtId="0" fontId="0" fillId="0" borderId="0" xfId="0"/>
    <xf numFmtId="0" fontId="5" fillId="2" borderId="0" xfId="0" applyFont="1" applyFill="1"/>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5" fontId="5" fillId="8" borderId="4" xfId="1" applyNumberFormat="1" applyFont="1" applyFill="1" applyBorder="1" applyAlignment="1" applyProtection="1">
      <alignment horizontal="center"/>
      <protection locked="0"/>
    </xf>
    <xf numFmtId="167" fontId="5" fillId="8" borderId="12" xfId="1" applyNumberFormat="1" applyFont="1" applyFill="1" applyBorder="1" applyAlignment="1" applyProtection="1">
      <alignment horizontal="right"/>
      <protection locked="0"/>
    </xf>
    <xf numFmtId="165" fontId="5" fillId="8" borderId="4" xfId="0" applyNumberFormat="1" applyFont="1" applyFill="1" applyBorder="1" applyAlignment="1" applyProtection="1">
      <alignment horizontal="center"/>
      <protection locked="0"/>
    </xf>
    <xf numFmtId="0" fontId="5" fillId="9" borderId="0" xfId="0" applyFont="1" applyFill="1" applyProtection="1"/>
    <xf numFmtId="167" fontId="5" fillId="9" borderId="0" xfId="0" applyNumberFormat="1" applyFont="1" applyFill="1" applyAlignment="1" applyProtection="1">
      <alignment horizontal="right"/>
    </xf>
    <xf numFmtId="164" fontId="5" fillId="10" borderId="13" xfId="0" applyNumberFormat="1" applyFont="1" applyFill="1" applyBorder="1" applyAlignment="1" applyProtection="1">
      <alignment horizontal="center"/>
    </xf>
    <xf numFmtId="164" fontId="5" fillId="10" borderId="14" xfId="0" applyNumberFormat="1" applyFont="1" applyFill="1" applyBorder="1" applyAlignment="1" applyProtection="1">
      <alignment horizontal="center"/>
    </xf>
    <xf numFmtId="165" fontId="6" fillId="11" borderId="6" xfId="0" applyNumberFormat="1" applyFont="1" applyFill="1" applyBorder="1" applyAlignment="1" applyProtection="1">
      <alignment horizontal="center"/>
    </xf>
    <xf numFmtId="167" fontId="6" fillId="11" borderId="1" xfId="1" applyNumberFormat="1" applyFont="1" applyFill="1" applyBorder="1" applyAlignment="1" applyProtection="1">
      <alignment horizontal="right"/>
    </xf>
    <xf numFmtId="166" fontId="16" fillId="0" borderId="0" xfId="0" applyNumberFormat="1" applyFont="1" applyFill="1" applyBorder="1" applyAlignment="1">
      <alignment horizontal="left" vertical="center"/>
    </xf>
    <xf numFmtId="165" fontId="5" fillId="5" borderId="20" xfId="1" applyNumberFormat="1" applyFont="1" applyFill="1" applyBorder="1"/>
    <xf numFmtId="164" fontId="5" fillId="3" borderId="22" xfId="0" applyNumberFormat="1" applyFont="1" applyFill="1" applyBorder="1" applyAlignment="1" applyProtection="1">
      <alignment horizontal="center"/>
    </xf>
    <xf numFmtId="164" fontId="5" fillId="10" borderId="22" xfId="0" applyNumberFormat="1" applyFont="1" applyFill="1" applyBorder="1" applyAlignment="1" applyProtection="1">
      <alignment horizontal="center"/>
    </xf>
    <xf numFmtId="165" fontId="5" fillId="12" borderId="1" xfId="1" applyNumberFormat="1" applyFont="1" applyFill="1" applyBorder="1" applyAlignment="1">
      <alignment horizontal="right"/>
    </xf>
    <xf numFmtId="0" fontId="17" fillId="13" borderId="23" xfId="0" applyFont="1" applyFill="1" applyBorder="1" applyAlignment="1">
      <alignment horizontal="center" vertical="center" wrapText="1"/>
    </xf>
    <xf numFmtId="0" fontId="18" fillId="14" borderId="23"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22" fillId="14" borderId="23" xfId="0" applyFont="1" applyFill="1" applyBorder="1" applyAlignment="1">
      <alignment horizontal="center" vertical="center" wrapText="1"/>
    </xf>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1" xfId="0" applyFont="1" applyFill="1" applyBorder="1" applyAlignment="1" applyProtection="1">
      <alignment horizontal="center"/>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5" fillId="12"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7" fillId="13" borderId="23" xfId="0" applyFont="1" applyFill="1" applyBorder="1" applyAlignment="1">
      <alignment horizontal="center" vertical="center" wrapText="1"/>
    </xf>
    <xf numFmtId="0" fontId="19" fillId="0" borderId="23" xfId="0" applyFont="1" applyBorder="1" applyAlignment="1">
      <alignment horizontal="center" vertical="center" wrapText="1"/>
    </xf>
    <xf numFmtId="0" fontId="20" fillId="0" borderId="23" xfId="0" applyFont="1" applyFill="1" applyBorder="1" applyAlignment="1">
      <alignment horizontal="center" vertical="center" wrapText="1"/>
    </xf>
    <xf numFmtId="0" fontId="19" fillId="0" borderId="23"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0</xdr:colOff>
      <xdr:row>34</xdr:row>
      <xdr:rowOff>0</xdr:rowOff>
    </xdr:from>
    <xdr:to>
      <xdr:col>10</xdr:col>
      <xdr:colOff>358140</xdr:colOff>
      <xdr:row>47</xdr:row>
      <xdr:rowOff>28575</xdr:rowOff>
    </xdr:to>
    <xdr:sp macro="" textlink="">
      <xdr:nvSpPr>
        <xdr:cNvPr id="5" name="TextBox 4"/>
        <xdr:cNvSpPr txBox="1"/>
      </xdr:nvSpPr>
      <xdr:spPr>
        <a:xfrm>
          <a:off x="0" y="6941820"/>
          <a:ext cx="9585960" cy="5476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"Target" = Total Utility Conservation Goal:</a:t>
          </a:r>
          <a:r>
            <a:rPr lang="en-US" sz="1100" baseline="0"/>
            <a:t> EIA Penalty Threshold + Decoupling </a:t>
          </a:r>
        </a:p>
        <a:p>
          <a:r>
            <a:rPr lang="en-US" sz="1100" baseline="0"/>
            <a:t>Threshold + NEEA + Pilots with Uncertain Savings + Retail Wheeling customers also referred to as Total Portfolio.</a:t>
          </a:r>
        </a:p>
        <a:p>
          <a:endParaRPr lang="en-US" sz="1100" baseline="0"/>
        </a:p>
        <a:p>
          <a:r>
            <a:rPr lang="en-US" sz="1100" baseline="0"/>
            <a:t>2) "Other Electric Programs" = Net Metering administrative costs, allowed by UTC, Electric Vehicle Charger Incentive pilot study close-out, and Demand Response pilot study close-out.</a:t>
          </a:r>
        </a:p>
        <a:p>
          <a:endParaRPr lang="en-US" sz="1100" baseline="0"/>
        </a:p>
        <a:p>
          <a:pPr eaLnBrk="1" fontAlgn="auto" latinLnBrk="0" hangingPunct="1"/>
          <a:r>
            <a:rPr lang="en-US" sz="1100" baseline="0">
              <a:solidFill>
                <a:schemeClr val="dk1"/>
              </a:solidFill>
              <a:effectLst/>
              <a:latin typeface="+mn-lt"/>
              <a:ea typeface="+mn-ea"/>
              <a:cs typeface="+mn-cs"/>
            </a:rPr>
            <a:t>3) PSE's 2-year 2018-2019 EIA Penalty Threshold of 448,109 MWh is based on a derivation of the pro-rata share of its 1.799 million MWh 10-year potential, as discussed in PSE's 2017 IRP.  Exhibit i of PSE's 2018-2019 Biennial Conservtion Plan  indicates that the actual 1/5 share of the 10-year potential was 359,830 MWh. </a:t>
          </a:r>
          <a:r>
            <a:rPr lang="en-US" sz="1100">
              <a:solidFill>
                <a:schemeClr val="dk1"/>
              </a:solidFill>
              <a:effectLst/>
              <a:latin typeface="+mn-lt"/>
              <a:ea typeface="+mn-ea"/>
              <a:cs typeface="+mn-cs"/>
            </a:rPr>
            <a:t>The pro rata IRP conservation potential does not represent the highest amount of achievable economic conservation potential in 2018-2019, however. PSE compared the timing of 2018-2019 savings potential with the ramp rates modeled in the IRP with the two-year pro rata share of the ten-year potential and selected the greater of those values as the guidance from the IRP.  This</a:t>
          </a:r>
          <a:r>
            <a:rPr lang="en-US" sz="1100" baseline="0">
              <a:solidFill>
                <a:schemeClr val="dk1"/>
              </a:solidFill>
              <a:effectLst/>
              <a:latin typeface="+mn-lt"/>
              <a:ea typeface="+mn-ea"/>
              <a:cs typeface="+mn-cs"/>
            </a:rPr>
            <a:t> resulted in the CPA Pro-Rata Share (or baseline) of 473,163 MWh. </a:t>
          </a:r>
          <a:r>
            <a:rPr lang="en-US" sz="1100">
              <a:solidFill>
                <a:schemeClr val="dk1"/>
              </a:solidFill>
              <a:effectLst/>
              <a:latin typeface="+mn-lt"/>
              <a:ea typeface="+mn-ea"/>
              <a:cs typeface="+mn-cs"/>
            </a:rPr>
            <a:t>UTC-approved exclusions</a:t>
          </a:r>
          <a:r>
            <a:rPr lang="en-US" sz="1100" baseline="0">
              <a:solidFill>
                <a:schemeClr val="dk1"/>
              </a:solidFill>
              <a:effectLst/>
              <a:latin typeface="+mn-lt"/>
              <a:ea typeface="+mn-ea"/>
              <a:cs typeface="+mn-cs"/>
            </a:rPr>
            <a:t> (NEEA, Pilots, and Retail Wheeling) resulted in the UTC-approved EIA Penalty Threshold of 448,109 MWh. Exhibit i is also filed in the UTC Docket UE-171087. </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4) Exhibit i, with references to PSE's 2017 IRP, indicates that--with the exception of Retail Wheeling customers--all cost-effective, reliable and feasible conservation measures were identififed in its Conservation Potential Assessment. The </a:t>
          </a:r>
          <a:r>
            <a:rPr lang="en-US" sz="1100">
              <a:solidFill>
                <a:schemeClr val="dk1"/>
              </a:solidFill>
              <a:effectLst/>
              <a:latin typeface="+mn-lt"/>
              <a:ea typeface="+mn-ea"/>
              <a:cs typeface="+mn-cs"/>
            </a:rPr>
            <a:t>UTC</a:t>
          </a:r>
          <a:r>
            <a:rPr lang="en-US" sz="1100" baseline="0">
              <a:solidFill>
                <a:schemeClr val="dk1"/>
              </a:solidFill>
              <a:effectLst/>
              <a:latin typeface="+mn-lt"/>
              <a:ea typeface="+mn-ea"/>
              <a:cs typeface="+mn-cs"/>
            </a:rPr>
            <a:t>, consistent with its standard practice, indicated that it is appropriate for pilot programs with uncertain savings and Northwest Energy Efficiency Alliance (NEEA) to be excluded from PSE's EIA Penalty Threshold.</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5) PSE's 2018-2019 Decoupling  Threshold is required to be 5 percent above its EIA Penalty Threshold. The actual Decoupling Penalty Threshold is slightly over that, at 23,658 MWh, which is 5 percent above the CPA Pro-Rata Share. </a:t>
          </a:r>
        </a:p>
        <a:p>
          <a:pPr eaLnBrk="1" fontAlgn="auto" latinLnBrk="0" hangingPunct="1"/>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It isn't possible to attribute decoupling savings to a particular program, measure,  or time period; PSE does not calculate savings for this target on an annual basis.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7) </a:t>
          </a:r>
          <a:r>
            <a:rPr lang="en-US" sz="1100">
              <a:solidFill>
                <a:schemeClr val="dk1"/>
              </a:solidFill>
              <a:effectLst/>
              <a:latin typeface="+mn-lt"/>
              <a:ea typeface="+mn-ea"/>
              <a:cs typeface="+mn-cs"/>
            </a:rPr>
            <a:t>2018</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achievement</a:t>
          </a:r>
          <a:r>
            <a:rPr lang="en-US" sz="1100" baseline="0">
              <a:solidFill>
                <a:schemeClr val="dk1"/>
              </a:solidFill>
              <a:effectLst/>
              <a:latin typeface="+mn-lt"/>
              <a:ea typeface="+mn-ea"/>
              <a:cs typeface="+mn-cs"/>
            </a:rPr>
            <a:t> figures are detailed in PSE's 2018 Annual Report of Energy Conservation Accomplishments, including program-specific discussions of  adaptive management  and hard-to-reach segments initiatives. The Report is filed with the Washington Utilities and Transportation Commission ("UTC" or "Commission") in Docket UE-171087.</a:t>
          </a:r>
        </a:p>
        <a:p>
          <a:endParaRPr lang="en-US">
            <a:effectLst/>
          </a:endParaRPr>
        </a:p>
        <a:p>
          <a:pPr eaLnBrk="1" fontAlgn="auto" latinLnBrk="0" hangingPunct="1"/>
          <a:r>
            <a:rPr lang="en-US" sz="1100">
              <a:solidFill>
                <a:schemeClr val="dk1"/>
              </a:solidFill>
              <a:effectLst/>
              <a:latin typeface="+mn-lt"/>
              <a:ea typeface="+mn-ea"/>
              <a:cs typeface="+mn-cs"/>
            </a:rPr>
            <a:t>7) Funding for</a:t>
          </a:r>
          <a:r>
            <a:rPr lang="en-US" sz="1100" baseline="0">
              <a:solidFill>
                <a:schemeClr val="dk1"/>
              </a:solidFill>
              <a:effectLst/>
              <a:latin typeface="+mn-lt"/>
              <a:ea typeface="+mn-ea"/>
              <a:cs typeface="+mn-cs"/>
            </a:rPr>
            <a:t> distribution and generation efficiency measures is through PSE general rate cases, per condition (9)(c) in Attachment A of Order 01 in Docket UE-171087.</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8) The below table provides PSE's savings terminology used in the 2018 Annual Report (extracted from the Glossary chapter of the Report). PSE is transitioning to updated/consistent terminology applicable to 2018-2019 savings in collaboration with WA statewide advisory groups:</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chae\AppData\Local\Microsoft\Windows\Temporary%20Internet%20Files\Content.Outlook\LYHDQYO2\UE-171087-Energy-EIA-2019-ConservationReportWorkbook-(06-01-2019).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Conservation Report"/>
      <sheetName val="Prior Report Data"/>
      <sheetName val="Data"/>
    </sheetNames>
    <sheetDataSet>
      <sheetData sheetId="0"/>
      <sheetData sheetId="1"/>
      <sheetData sheetId="2">
        <row r="5">
          <cell r="A5" t="str">
            <v>Avista</v>
          </cell>
          <cell r="B5">
            <v>368000</v>
          </cell>
          <cell r="C5">
            <v>94260</v>
          </cell>
        </row>
        <row r="6">
          <cell r="A6" t="str">
            <v>Clark Public Utilities</v>
          </cell>
          <cell r="B6">
            <v>123340.8</v>
          </cell>
          <cell r="C6">
            <v>19710</v>
          </cell>
        </row>
        <row r="7">
          <cell r="A7" t="str">
            <v>Cowlitz County PUD</v>
          </cell>
          <cell r="B7">
            <v>102713.301934827</v>
          </cell>
          <cell r="C7">
            <v>21199.200000000001</v>
          </cell>
        </row>
        <row r="8">
          <cell r="A8" t="str">
            <v>Inland Power and Light Co.</v>
          </cell>
          <cell r="B8">
            <v>65612.400000000009</v>
          </cell>
          <cell r="C8">
            <v>9198</v>
          </cell>
        </row>
        <row r="9">
          <cell r="A9" t="str">
            <v>Lewis County PUD</v>
          </cell>
          <cell r="B9">
            <v>407252</v>
          </cell>
          <cell r="C9">
            <v>85760</v>
          </cell>
        </row>
        <row r="10">
          <cell r="A10" t="str">
            <v>Mason County PUD No. 3</v>
          </cell>
          <cell r="B10">
            <v>326310</v>
          </cell>
          <cell r="C10">
            <v>61145</v>
          </cell>
        </row>
        <row r="11">
          <cell r="A11" t="str">
            <v>Pacific Power &amp; Light Company</v>
          </cell>
          <cell r="B11">
            <v>195523</v>
          </cell>
          <cell r="C11">
            <v>32149</v>
          </cell>
        </row>
        <row r="12">
          <cell r="A12" t="str">
            <v>Peninsula Light Company</v>
          </cell>
          <cell r="B12">
            <v>86110.8</v>
          </cell>
          <cell r="C12">
            <v>12789.6</v>
          </cell>
        </row>
        <row r="13">
          <cell r="A13" t="str">
            <v>Public Utility District No. 1 of Benton County</v>
          </cell>
          <cell r="B13">
            <v>63510</v>
          </cell>
          <cell r="C13">
            <v>9811</v>
          </cell>
        </row>
        <row r="14">
          <cell r="A14" t="str">
            <v>Public Utility District No. 1 of Chelan County</v>
          </cell>
          <cell r="B14">
            <v>75161</v>
          </cell>
          <cell r="C14">
            <v>10337</v>
          </cell>
        </row>
        <row r="15">
          <cell r="A15" t="str">
            <v>Public Utility District No. 2 of Grant County</v>
          </cell>
          <cell r="B15">
            <v>35828</v>
          </cell>
          <cell r="C15">
            <v>5050</v>
          </cell>
        </row>
        <row r="16">
          <cell r="A16" t="str">
            <v>PUD #1 of Clallam County</v>
          </cell>
          <cell r="B16">
            <v>394473</v>
          </cell>
          <cell r="C16">
            <v>79509</v>
          </cell>
        </row>
        <row r="17">
          <cell r="A17" t="str">
            <v>PUD #1 of Grays Harbor County</v>
          </cell>
          <cell r="B17">
            <v>39595.199999999997</v>
          </cell>
          <cell r="C17">
            <v>7884</v>
          </cell>
        </row>
        <row r="18">
          <cell r="A18" t="str">
            <v>Puget Sound Energy</v>
          </cell>
          <cell r="B18">
            <v>1799149</v>
          </cell>
          <cell r="C18">
            <v>520456</v>
          </cell>
        </row>
        <row r="19">
          <cell r="A19" t="str">
            <v>Seattle City Light</v>
          </cell>
          <cell r="B19">
            <v>791028</v>
          </cell>
          <cell r="C19">
            <v>214620</v>
          </cell>
        </row>
        <row r="20">
          <cell r="A20" t="str">
            <v>Snohomish County PUD</v>
          </cell>
          <cell r="B20">
            <v>812052</v>
          </cell>
          <cell r="C20">
            <v>127983.59999999999</v>
          </cell>
        </row>
        <row r="21">
          <cell r="A21" t="str">
            <v>Tacoma Power</v>
          </cell>
          <cell r="B21">
            <v>277692</v>
          </cell>
          <cell r="C21">
            <v>55538.400000000001</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A2" sqref="A2"/>
    </sheetView>
  </sheetViews>
  <sheetFormatPr defaultRowHeight="14.4" x14ac:dyDescent="0.3"/>
  <cols>
    <col min="1" max="1" width="135.109375" customWidth="1"/>
    <col min="14" max="14" width="11.6640625" customWidth="1"/>
  </cols>
  <sheetData>
    <row r="1" spans="1:14" ht="17.399999999999999" x14ac:dyDescent="0.3">
      <c r="A1" s="6" t="s">
        <v>41</v>
      </c>
    </row>
    <row r="2" spans="1:14" x14ac:dyDescent="0.3">
      <c r="A2" s="54" t="s">
        <v>96</v>
      </c>
    </row>
    <row r="3" spans="1:14" x14ac:dyDescent="0.3">
      <c r="A3" s="6"/>
      <c r="N3" s="4"/>
    </row>
    <row r="4" spans="1:14" x14ac:dyDescent="0.3">
      <c r="A4" s="5" t="s">
        <v>44</v>
      </c>
    </row>
    <row r="5" spans="1:14" x14ac:dyDescent="0.3">
      <c r="A5" s="5" t="s">
        <v>29</v>
      </c>
    </row>
    <row r="6" spans="1:14" x14ac:dyDescent="0.3">
      <c r="A6" s="5" t="s">
        <v>45</v>
      </c>
    </row>
    <row r="8" spans="1:14" x14ac:dyDescent="0.3">
      <c r="A8" s="7" t="s">
        <v>36</v>
      </c>
    </row>
    <row r="9" spans="1:14" x14ac:dyDescent="0.3">
      <c r="A9" s="8" t="s">
        <v>37</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8"/>
  <sheetViews>
    <sheetView tabSelected="1" topLeftCell="A36" zoomScale="110" zoomScaleNormal="110" workbookViewId="0">
      <selection activeCell="K50" sqref="K50"/>
    </sheetView>
  </sheetViews>
  <sheetFormatPr defaultColWidth="9.109375" defaultRowHeight="13.2" x14ac:dyDescent="0.25"/>
  <cols>
    <col min="1" max="2" width="16.6640625" style="15" customWidth="1"/>
    <col min="3" max="3" width="17.109375" style="15" customWidth="1"/>
    <col min="4" max="4" width="16" style="15" customWidth="1"/>
    <col min="5" max="5" width="4.44140625" style="15" customWidth="1"/>
    <col min="6" max="6" width="14.44140625" style="15" customWidth="1"/>
    <col min="7" max="7" width="15.44140625" style="15" customWidth="1"/>
    <col min="8" max="8" width="16.109375" style="15" customWidth="1"/>
    <col min="9" max="9" width="8.5546875" style="15" customWidth="1"/>
    <col min="10" max="10" width="9.109375" style="15"/>
    <col min="11" max="11" width="11.6640625" style="15" customWidth="1"/>
    <col min="12" max="16384" width="9.109375" style="15"/>
  </cols>
  <sheetData>
    <row r="1" spans="1:11" ht="13.8" x14ac:dyDescent="0.25">
      <c r="A1" s="63" t="s">
        <v>36</v>
      </c>
      <c r="B1" s="63"/>
      <c r="C1" s="63"/>
      <c r="D1" s="63"/>
      <c r="E1" s="63"/>
      <c r="F1" s="63"/>
      <c r="G1" s="63"/>
      <c r="H1" s="63"/>
      <c r="I1" s="63"/>
    </row>
    <row r="2" spans="1:11" ht="13.8" x14ac:dyDescent="0.25">
      <c r="A2" s="64" t="s">
        <v>37</v>
      </c>
      <c r="B2" s="64"/>
      <c r="C2" s="64"/>
      <c r="D2" s="64"/>
      <c r="E2" s="64"/>
      <c r="F2" s="64"/>
      <c r="G2" s="64"/>
      <c r="H2" s="64"/>
      <c r="I2" s="64"/>
    </row>
    <row r="3" spans="1:11" s="17" customFormat="1" ht="18.600000000000001" x14ac:dyDescent="0.45">
      <c r="A3" s="16" t="s">
        <v>95</v>
      </c>
    </row>
    <row r="4" spans="1:11" ht="15" customHeight="1" x14ac:dyDescent="0.25">
      <c r="A4" s="18"/>
    </row>
    <row r="5" spans="1:11" ht="14.25" customHeight="1" thickBot="1" x14ac:dyDescent="0.3">
      <c r="A5" s="21" t="s">
        <v>3</v>
      </c>
      <c r="B5" s="71" t="s">
        <v>97</v>
      </c>
      <c r="C5" s="71"/>
      <c r="D5" s="71"/>
      <c r="F5" s="72" t="s">
        <v>38</v>
      </c>
      <c r="G5" s="72"/>
      <c r="H5" s="72"/>
      <c r="I5" s="72"/>
      <c r="K5" s="20"/>
    </row>
    <row r="6" spans="1:11" ht="15" customHeight="1" x14ac:dyDescent="0.25">
      <c r="A6" s="21" t="s">
        <v>23</v>
      </c>
      <c r="B6" s="73">
        <v>43617</v>
      </c>
      <c r="C6" s="74"/>
      <c r="D6" s="74"/>
      <c r="E6" s="22"/>
      <c r="G6" s="1"/>
      <c r="H6" s="42" t="s">
        <v>39</v>
      </c>
      <c r="I6" s="1"/>
    </row>
    <row r="7" spans="1:11" ht="15" customHeight="1" x14ac:dyDescent="0.25">
      <c r="A7" s="23" t="s">
        <v>22</v>
      </c>
      <c r="B7" s="75" t="s">
        <v>98</v>
      </c>
      <c r="C7" s="76"/>
      <c r="D7" s="76"/>
      <c r="E7" s="17"/>
      <c r="G7" s="1"/>
      <c r="H7" s="43" t="s">
        <v>40</v>
      </c>
      <c r="I7" s="1"/>
    </row>
    <row r="8" spans="1:11" ht="15" customHeight="1" x14ac:dyDescent="0.25">
      <c r="A8" s="23" t="s">
        <v>0</v>
      </c>
      <c r="B8" s="77" t="s">
        <v>99</v>
      </c>
      <c r="C8" s="77"/>
      <c r="D8" s="77"/>
      <c r="E8" s="17"/>
      <c r="G8" s="23" t="s">
        <v>50</v>
      </c>
      <c r="H8" s="58">
        <f>VLOOKUP(CON_Utility_Name,'[1]Prior Report Data'!$A$5:$C$21,2)</f>
        <v>1799149</v>
      </c>
      <c r="I8" s="1"/>
    </row>
    <row r="9" spans="1:11" ht="15" customHeight="1" x14ac:dyDescent="0.25">
      <c r="A9" s="23" t="s">
        <v>1</v>
      </c>
      <c r="B9" s="78" t="s">
        <v>100</v>
      </c>
      <c r="C9" s="79"/>
      <c r="D9" s="79"/>
      <c r="E9" s="17"/>
      <c r="G9" s="44" t="s">
        <v>46</v>
      </c>
      <c r="H9" s="58">
        <f>VLOOKUP(CON_Utility_Name,'[1]Prior Report Data'!$A$5:$C$21,3)</f>
        <v>520456</v>
      </c>
      <c r="I9" s="1"/>
    </row>
    <row r="10" spans="1:11" ht="15" customHeight="1" thickBot="1" x14ac:dyDescent="0.3">
      <c r="A10" s="23"/>
      <c r="B10" s="23"/>
      <c r="C10" s="23"/>
      <c r="D10" s="23"/>
      <c r="E10" s="17"/>
      <c r="G10" s="44" t="s">
        <v>49</v>
      </c>
      <c r="H10" s="55">
        <f>CON_2018_MWH+CON_2019_MWH</f>
        <v>299918</v>
      </c>
      <c r="I10" s="1"/>
    </row>
    <row r="11" spans="1:11" s="17" customFormat="1" x14ac:dyDescent="0.25">
      <c r="E11" s="24"/>
      <c r="F11" s="15"/>
      <c r="G11" s="15"/>
      <c r="H11" s="15"/>
      <c r="I11" s="15"/>
    </row>
    <row r="12" spans="1:11" s="17" customFormat="1" ht="13.8" thickBot="1" x14ac:dyDescent="0.3">
      <c r="E12" s="24"/>
      <c r="F12" s="15"/>
      <c r="G12" s="15"/>
      <c r="H12" s="15"/>
      <c r="I12" s="15"/>
    </row>
    <row r="13" spans="1:11" ht="13.8" thickTop="1" x14ac:dyDescent="0.25">
      <c r="A13" s="66" t="s">
        <v>2</v>
      </c>
      <c r="B13" s="66"/>
      <c r="C13" s="66"/>
      <c r="D13" s="66"/>
      <c r="E13" s="66"/>
      <c r="F13" s="66"/>
      <c r="G13" s="66"/>
    </row>
    <row r="14" spans="1:11" ht="15" customHeight="1" x14ac:dyDescent="0.25">
      <c r="A14" s="25"/>
      <c r="C14" s="69" t="s">
        <v>47</v>
      </c>
      <c r="D14" s="69"/>
      <c r="F14" s="70" t="s">
        <v>48</v>
      </c>
      <c r="G14" s="70"/>
    </row>
    <row r="15" spans="1:11" ht="30.75" customHeight="1" x14ac:dyDescent="0.25">
      <c r="B15" s="26" t="s">
        <v>20</v>
      </c>
      <c r="C15" s="27" t="s">
        <v>6</v>
      </c>
      <c r="D15" s="27" t="s">
        <v>7</v>
      </c>
      <c r="F15" s="41" t="s">
        <v>6</v>
      </c>
      <c r="G15" s="41" t="s">
        <v>7</v>
      </c>
    </row>
    <row r="16" spans="1:11" ht="15" customHeight="1" x14ac:dyDescent="0.25">
      <c r="B16" s="3" t="s">
        <v>8</v>
      </c>
      <c r="C16" s="10">
        <v>134680</v>
      </c>
      <c r="D16" s="11">
        <v>35316606</v>
      </c>
      <c r="F16" s="45"/>
      <c r="G16" s="46"/>
    </row>
    <row r="17" spans="1:7" ht="15" customHeight="1" x14ac:dyDescent="0.25">
      <c r="B17" s="3" t="s">
        <v>9</v>
      </c>
      <c r="C17" s="10">
        <f>150681*0.9</f>
        <v>135612.9</v>
      </c>
      <c r="D17" s="11">
        <f>40064876*0.9</f>
        <v>36058388.399999999</v>
      </c>
      <c r="F17" s="45"/>
      <c r="G17" s="46"/>
    </row>
    <row r="18" spans="1:7" ht="15" customHeight="1" x14ac:dyDescent="0.25">
      <c r="B18" s="3" t="s">
        <v>10</v>
      </c>
      <c r="C18" s="10">
        <f>150681*0.1</f>
        <v>15068.1</v>
      </c>
      <c r="D18" s="11">
        <f>40064876*0.1</f>
        <v>4006487.6</v>
      </c>
      <c r="F18" s="45"/>
      <c r="G18" s="46"/>
    </row>
    <row r="19" spans="1:7" ht="15" customHeight="1" x14ac:dyDescent="0.25">
      <c r="B19" s="3" t="s">
        <v>11</v>
      </c>
      <c r="C19" s="10">
        <v>0</v>
      </c>
      <c r="D19" s="11">
        <v>0</v>
      </c>
      <c r="F19" s="45"/>
      <c r="G19" s="46"/>
    </row>
    <row r="20" spans="1:7" ht="15" customHeight="1" x14ac:dyDescent="0.25">
      <c r="B20" s="3" t="s">
        <v>17</v>
      </c>
      <c r="C20" s="10">
        <v>3782</v>
      </c>
      <c r="D20" s="11">
        <v>0</v>
      </c>
      <c r="F20" s="45"/>
      <c r="G20" s="46"/>
    </row>
    <row r="21" spans="1:7" ht="15" customHeight="1" x14ac:dyDescent="0.25">
      <c r="B21" s="28" t="s">
        <v>18</v>
      </c>
      <c r="C21" s="10">
        <v>0</v>
      </c>
      <c r="D21" s="11">
        <v>0</v>
      </c>
      <c r="F21" s="45"/>
      <c r="G21" s="46"/>
    </row>
    <row r="22" spans="1:7" ht="15" customHeight="1" x14ac:dyDescent="0.25">
      <c r="B22" s="28" t="s">
        <v>4</v>
      </c>
      <c r="C22" s="12">
        <v>10775</v>
      </c>
      <c r="D22" s="11">
        <v>4033724</v>
      </c>
      <c r="F22" s="47"/>
      <c r="G22" s="46"/>
    </row>
    <row r="23" spans="1:7" ht="15" customHeight="1" x14ac:dyDescent="0.25">
      <c r="B23" s="13" t="s">
        <v>101</v>
      </c>
      <c r="C23" s="12">
        <v>0</v>
      </c>
      <c r="D23" s="11">
        <v>13728</v>
      </c>
      <c r="F23" s="47"/>
      <c r="G23" s="46"/>
    </row>
    <row r="24" spans="1:7" ht="15" customHeight="1" x14ac:dyDescent="0.25">
      <c r="B24" s="13"/>
      <c r="C24" s="12"/>
      <c r="D24" s="11"/>
      <c r="F24" s="47"/>
      <c r="G24" s="46"/>
    </row>
    <row r="25" spans="1:7" ht="30.75" customHeight="1" x14ac:dyDescent="0.25">
      <c r="A25" s="67" t="s">
        <v>21</v>
      </c>
      <c r="B25" s="68"/>
      <c r="D25" s="29"/>
      <c r="F25" s="48"/>
      <c r="G25" s="49"/>
    </row>
    <row r="26" spans="1:7" ht="15" customHeight="1" x14ac:dyDescent="0.25">
      <c r="B26" s="14"/>
      <c r="C26" s="30"/>
      <c r="D26" s="11">
        <v>6856030</v>
      </c>
      <c r="F26" s="50"/>
      <c r="G26" s="46"/>
    </row>
    <row r="27" spans="1:7" ht="15" customHeight="1" x14ac:dyDescent="0.25">
      <c r="B27" s="14"/>
      <c r="C27" s="56"/>
      <c r="D27" s="11">
        <v>3537407</v>
      </c>
      <c r="F27" s="57"/>
      <c r="G27" s="46"/>
    </row>
    <row r="28" spans="1:7" ht="15" customHeight="1" x14ac:dyDescent="0.25">
      <c r="B28" s="14"/>
      <c r="C28" s="31"/>
      <c r="D28" s="11">
        <v>1264225</v>
      </c>
      <c r="F28" s="51"/>
      <c r="G28" s="46"/>
    </row>
    <row r="29" spans="1:7" ht="15" customHeight="1" x14ac:dyDescent="0.25">
      <c r="B29" s="32" t="s">
        <v>5</v>
      </c>
      <c r="C29" s="33">
        <f>SUM(C16:C24)</f>
        <v>299918</v>
      </c>
      <c r="D29" s="34">
        <f>SUM(D16:D28)</f>
        <v>91086596</v>
      </c>
      <c r="F29" s="52">
        <f>SUM(F16:F24)</f>
        <v>0</v>
      </c>
      <c r="G29" s="53">
        <f>SUM(G16:G28)</f>
        <v>0</v>
      </c>
    </row>
    <row r="30" spans="1:7" ht="15" customHeight="1" x14ac:dyDescent="0.25">
      <c r="A30" s="35"/>
      <c r="B30" s="36"/>
      <c r="C30" s="37"/>
      <c r="D30" s="36"/>
      <c r="E30" s="37"/>
    </row>
    <row r="31" spans="1:7" s="17" customFormat="1" ht="15" customHeight="1" x14ac:dyDescent="0.25">
      <c r="A31" s="19" t="s">
        <v>3</v>
      </c>
      <c r="B31" s="65" t="str">
        <f>CON_Utility_Name</f>
        <v>Puget Sound Energy</v>
      </c>
      <c r="C31" s="65"/>
      <c r="D31" s="65"/>
      <c r="E31" s="65"/>
      <c r="F31" s="15"/>
      <c r="G31" s="15"/>
    </row>
    <row r="32" spans="1:7" s="17" customFormat="1" x14ac:dyDescent="0.25">
      <c r="A32" s="38" t="s">
        <v>12</v>
      </c>
      <c r="B32" s="81">
        <v>2018</v>
      </c>
      <c r="C32" s="81"/>
      <c r="D32" s="81"/>
      <c r="E32" s="81"/>
    </row>
    <row r="33" spans="1:9" s="17" customFormat="1" x14ac:dyDescent="0.25">
      <c r="A33" s="38"/>
      <c r="B33" s="39"/>
      <c r="C33" s="39"/>
      <c r="D33" s="39"/>
      <c r="E33" s="39"/>
    </row>
    <row r="34" spans="1:9" ht="28.5" customHeight="1" x14ac:dyDescent="0.25">
      <c r="A34" s="80" t="s">
        <v>35</v>
      </c>
      <c r="B34" s="80"/>
      <c r="C34" s="80"/>
      <c r="D34" s="80"/>
      <c r="E34" s="80"/>
      <c r="F34" s="80"/>
      <c r="G34" s="80"/>
      <c r="H34" s="80"/>
      <c r="I34" s="80"/>
    </row>
    <row r="35" spans="1:9" s="9" customFormat="1" ht="270.75" customHeight="1" x14ac:dyDescent="0.25">
      <c r="A35" s="82"/>
      <c r="B35" s="82"/>
      <c r="C35" s="82"/>
      <c r="D35" s="82"/>
      <c r="E35" s="82"/>
      <c r="F35" s="82"/>
      <c r="G35" s="82"/>
      <c r="H35" s="82"/>
      <c r="I35" s="82"/>
    </row>
    <row r="36" spans="1:9" s="9" customFormat="1" x14ac:dyDescent="0.25"/>
    <row r="37" spans="1:9" s="9" customFormat="1" x14ac:dyDescent="0.25"/>
    <row r="38" spans="1:9" s="9" customFormat="1" x14ac:dyDescent="0.25"/>
    <row r="39" spans="1:9" s="9" customFormat="1" x14ac:dyDescent="0.25"/>
    <row r="40" spans="1:9" s="9" customFormat="1" x14ac:dyDescent="0.25"/>
    <row r="41" spans="1:9" s="9" customFormat="1" x14ac:dyDescent="0.25"/>
    <row r="42" spans="1:9" s="9" customFormat="1" x14ac:dyDescent="0.25"/>
    <row r="43" spans="1:9" s="9" customFormat="1" x14ac:dyDescent="0.25"/>
    <row r="44" spans="1:9" s="9" customFormat="1" x14ac:dyDescent="0.25"/>
    <row r="45" spans="1:9" s="9" customFormat="1" x14ac:dyDescent="0.25"/>
    <row r="46" spans="1:9" s="9" customFormat="1" x14ac:dyDescent="0.25"/>
    <row r="47" spans="1:9" s="9" customFormat="1" x14ac:dyDescent="0.25"/>
    <row r="48" spans="1:9" s="9" customFormat="1" x14ac:dyDescent="0.25"/>
    <row r="49" spans="1:10" s="9" customFormat="1" ht="31.2" x14ac:dyDescent="0.25">
      <c r="A49" s="59" t="s">
        <v>102</v>
      </c>
      <c r="B49" s="83" t="s">
        <v>103</v>
      </c>
      <c r="C49" s="83"/>
      <c r="D49" s="83"/>
      <c r="E49" s="83"/>
      <c r="F49" s="83"/>
      <c r="G49" s="83"/>
      <c r="H49" s="83"/>
      <c r="I49" s="83"/>
      <c r="J49" s="83"/>
    </row>
    <row r="50" spans="1:10" s="9" customFormat="1" ht="28.8" x14ac:dyDescent="0.25">
      <c r="A50" s="60" t="s">
        <v>104</v>
      </c>
      <c r="B50" s="84" t="s">
        <v>105</v>
      </c>
      <c r="C50" s="84"/>
      <c r="D50" s="84"/>
      <c r="E50" s="84"/>
      <c r="F50" s="84"/>
      <c r="G50" s="84"/>
      <c r="H50" s="84"/>
      <c r="I50" s="84"/>
      <c r="J50" s="84"/>
    </row>
    <row r="51" spans="1:10" s="9" customFormat="1" ht="14.4" x14ac:dyDescent="0.25">
      <c r="A51" s="61" t="s">
        <v>106</v>
      </c>
      <c r="B51" s="84" t="s">
        <v>107</v>
      </c>
      <c r="C51" s="84"/>
      <c r="D51" s="84"/>
      <c r="E51" s="84"/>
      <c r="F51" s="84"/>
      <c r="G51" s="84"/>
      <c r="H51" s="84"/>
      <c r="I51" s="84"/>
      <c r="J51" s="84"/>
    </row>
    <row r="52" spans="1:10" s="9" customFormat="1" ht="28.8" x14ac:dyDescent="0.25">
      <c r="A52" s="60" t="s">
        <v>108</v>
      </c>
      <c r="B52" s="84" t="s">
        <v>109</v>
      </c>
      <c r="C52" s="84"/>
      <c r="D52" s="84"/>
      <c r="E52" s="84"/>
      <c r="F52" s="84"/>
      <c r="G52" s="84"/>
      <c r="H52" s="84"/>
      <c r="I52" s="84"/>
      <c r="J52" s="84"/>
    </row>
    <row r="53" spans="1:10" s="9" customFormat="1" ht="57.6" x14ac:dyDescent="0.25">
      <c r="A53" s="61" t="s">
        <v>110</v>
      </c>
      <c r="B53" s="86" t="s">
        <v>111</v>
      </c>
      <c r="C53" s="86"/>
      <c r="D53" s="86"/>
      <c r="E53" s="86"/>
      <c r="F53" s="86"/>
      <c r="G53" s="86"/>
      <c r="H53" s="86"/>
      <c r="I53" s="86"/>
      <c r="J53" s="86"/>
    </row>
    <row r="54" spans="1:10" s="9" customFormat="1" ht="28.8" x14ac:dyDescent="0.25">
      <c r="A54" s="60" t="s">
        <v>112</v>
      </c>
      <c r="B54" s="86" t="s">
        <v>113</v>
      </c>
      <c r="C54" s="86"/>
      <c r="D54" s="86"/>
      <c r="E54" s="86"/>
      <c r="F54" s="86"/>
      <c r="G54" s="86"/>
      <c r="H54" s="86"/>
      <c r="I54" s="86"/>
      <c r="J54" s="86"/>
    </row>
    <row r="55" spans="1:10" ht="57.6" x14ac:dyDescent="0.25">
      <c r="A55" s="60" t="s">
        <v>114</v>
      </c>
      <c r="B55" s="86" t="s">
        <v>115</v>
      </c>
      <c r="C55" s="86"/>
      <c r="D55" s="86"/>
      <c r="E55" s="86"/>
      <c r="F55" s="86"/>
      <c r="G55" s="86"/>
      <c r="H55" s="86"/>
      <c r="I55" s="86"/>
      <c r="J55" s="86"/>
    </row>
    <row r="56" spans="1:10" ht="28.8" x14ac:dyDescent="0.25">
      <c r="A56" s="61" t="s">
        <v>116</v>
      </c>
      <c r="B56" s="85" t="s">
        <v>117</v>
      </c>
      <c r="C56" s="85"/>
      <c r="D56" s="85"/>
      <c r="E56" s="85"/>
      <c r="F56" s="85"/>
      <c r="G56" s="85"/>
      <c r="H56" s="85"/>
      <c r="I56" s="85"/>
      <c r="J56" s="85"/>
    </row>
    <row r="57" spans="1:10" ht="43.2" x14ac:dyDescent="0.25">
      <c r="A57" s="60" t="s">
        <v>118</v>
      </c>
      <c r="B57" s="86" t="s">
        <v>119</v>
      </c>
      <c r="C57" s="86"/>
      <c r="D57" s="86"/>
      <c r="E57" s="86"/>
      <c r="F57" s="86"/>
      <c r="G57" s="86"/>
      <c r="H57" s="86"/>
      <c r="I57" s="86"/>
      <c r="J57" s="86"/>
    </row>
    <row r="58" spans="1:10" ht="72" x14ac:dyDescent="0.25">
      <c r="A58" s="62" t="s">
        <v>120</v>
      </c>
      <c r="B58" s="86" t="s">
        <v>121</v>
      </c>
      <c r="C58" s="86"/>
      <c r="D58" s="86"/>
      <c r="E58" s="86"/>
      <c r="F58" s="86"/>
      <c r="G58" s="86"/>
      <c r="H58" s="86"/>
      <c r="I58" s="86"/>
      <c r="J58" s="86"/>
    </row>
  </sheetData>
  <mergeCells count="27">
    <mergeCell ref="B56:J56"/>
    <mergeCell ref="B57:J57"/>
    <mergeCell ref="B58:J58"/>
    <mergeCell ref="B51:J51"/>
    <mergeCell ref="B52:J52"/>
    <mergeCell ref="B53:J53"/>
    <mergeCell ref="B54:J54"/>
    <mergeCell ref="B55:J55"/>
    <mergeCell ref="A34:I34"/>
    <mergeCell ref="B32:E32"/>
    <mergeCell ref="A35:I35"/>
    <mergeCell ref="B49:J49"/>
    <mergeCell ref="B50:J50"/>
    <mergeCell ref="A1:I1"/>
    <mergeCell ref="A2:I2"/>
    <mergeCell ref="B31:E31"/>
    <mergeCell ref="F13:G13"/>
    <mergeCell ref="A13:E13"/>
    <mergeCell ref="A25:B25"/>
    <mergeCell ref="C14:D14"/>
    <mergeCell ref="F14:G14"/>
    <mergeCell ref="B5:D5"/>
    <mergeCell ref="F5:I5"/>
    <mergeCell ref="B6:D6"/>
    <mergeCell ref="B7:D7"/>
    <mergeCell ref="B8:D8"/>
    <mergeCell ref="B9:D9"/>
  </mergeCells>
  <dataValidations count="2">
    <dataValidation allowBlank="1" showInputMessage="1" showErrorMessage="1" prompt="Achievement in 2019 will be included in the report submitted in 2020." sqref="F16:G29"/>
    <dataValidation type="list" allowBlank="1" showInputMessage="1" showErrorMessage="1" sqref="B5:D5">
      <formula1>UtilityList</formula1>
    </dataValidation>
  </dataValidations>
  <pageMargins left="0.7" right="0.7" top="0.75" bottom="0.75" header="0.3" footer="0.3"/>
  <pageSetup scale="97" fitToHeight="0" orientation="landscape" r:id="rId1"/>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
  <sheetViews>
    <sheetView workbookViewId="0">
      <selection activeCell="A2" sqref="A2"/>
    </sheetView>
  </sheetViews>
  <sheetFormatPr defaultRowHeight="14.4" x14ac:dyDescent="0.3"/>
  <cols>
    <col min="1" max="1" width="36.109375" bestFit="1" customWidth="1"/>
    <col min="3" max="3" width="10.5546875" customWidth="1"/>
    <col min="12" max="12" width="10.5546875" customWidth="1"/>
  </cols>
  <sheetData>
    <row r="1" spans="1:82" ht="156.6" x14ac:dyDescent="0.3">
      <c r="A1" s="40" t="s">
        <v>28</v>
      </c>
      <c r="B1" s="40" t="s">
        <v>51</v>
      </c>
      <c r="C1" s="40" t="s">
        <v>52</v>
      </c>
      <c r="D1" s="40" t="s">
        <v>53</v>
      </c>
      <c r="E1" s="40" t="s">
        <v>54</v>
      </c>
      <c r="F1" s="40" t="s">
        <v>55</v>
      </c>
      <c r="G1" s="40" t="s">
        <v>56</v>
      </c>
      <c r="H1" s="40" t="s">
        <v>57</v>
      </c>
      <c r="I1" s="40" t="s">
        <v>58</v>
      </c>
      <c r="J1" s="40" t="s">
        <v>59</v>
      </c>
      <c r="K1" s="40" t="s">
        <v>60</v>
      </c>
      <c r="L1" s="40" t="s">
        <v>61</v>
      </c>
      <c r="M1" s="40" t="s">
        <v>62</v>
      </c>
      <c r="N1" s="40" t="s">
        <v>63</v>
      </c>
      <c r="O1" s="40" t="s">
        <v>64</v>
      </c>
      <c r="P1" s="40" t="s">
        <v>65</v>
      </c>
      <c r="Q1" s="40" t="s">
        <v>66</v>
      </c>
      <c r="R1" s="40" t="s">
        <v>67</v>
      </c>
      <c r="S1" s="40" t="s">
        <v>68</v>
      </c>
      <c r="T1" s="40" t="s">
        <v>69</v>
      </c>
      <c r="U1" s="40" t="s">
        <v>70</v>
      </c>
      <c r="V1" s="40" t="s">
        <v>71</v>
      </c>
      <c r="W1" s="40" t="s">
        <v>72</v>
      </c>
      <c r="X1" s="40" t="s">
        <v>73</v>
      </c>
      <c r="Y1" s="40" t="s">
        <v>74</v>
      </c>
      <c r="Z1" s="40" t="s">
        <v>75</v>
      </c>
      <c r="AA1" s="40" t="s">
        <v>76</v>
      </c>
      <c r="AB1" s="40" t="s">
        <v>77</v>
      </c>
      <c r="AC1" s="40" t="s">
        <v>78</v>
      </c>
      <c r="AD1" s="40" t="s">
        <v>79</v>
      </c>
      <c r="AE1" s="40" t="s">
        <v>80</v>
      </c>
      <c r="AF1" s="40" t="s">
        <v>81</v>
      </c>
      <c r="AG1" s="40" t="s">
        <v>82</v>
      </c>
      <c r="AH1" s="40" t="s">
        <v>83</v>
      </c>
      <c r="AI1" s="40" t="s">
        <v>84</v>
      </c>
      <c r="AJ1" s="40" t="s">
        <v>85</v>
      </c>
      <c r="AK1" s="40" t="s">
        <v>86</v>
      </c>
      <c r="AL1" s="40" t="s">
        <v>87</v>
      </c>
      <c r="AM1" s="40" t="s">
        <v>88</v>
      </c>
      <c r="AN1" s="40" t="s">
        <v>89</v>
      </c>
      <c r="AO1" s="40" t="s">
        <v>90</v>
      </c>
      <c r="AP1" s="40" t="s">
        <v>91</v>
      </c>
      <c r="AQ1" s="40" t="s">
        <v>92</v>
      </c>
      <c r="AR1" s="40" t="s">
        <v>93</v>
      </c>
      <c r="AS1" s="40" t="s">
        <v>94</v>
      </c>
      <c r="AT1" s="40" t="s">
        <v>24</v>
      </c>
      <c r="AU1" s="40" t="s">
        <v>25</v>
      </c>
      <c r="AV1" s="40" t="s">
        <v>26</v>
      </c>
      <c r="AW1" s="40" t="s">
        <v>42</v>
      </c>
      <c r="AX1" s="40" t="s">
        <v>27</v>
      </c>
      <c r="AY1" s="40" t="s">
        <v>43</v>
      </c>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row>
    <row r="2" spans="1:82" x14ac:dyDescent="0.3">
      <c r="A2" t="str">
        <f>CON_Utility_Name</f>
        <v>Puget Sound Energy</v>
      </c>
      <c r="B2">
        <f>+CON_2018_Agriculture_Expend</f>
        <v>0</v>
      </c>
      <c r="C2">
        <f>+CON_2018_Agriculture_MWH</f>
        <v>0</v>
      </c>
      <c r="D2">
        <f>+CON_2018_Commercial_Expend</f>
        <v>36058388.399999999</v>
      </c>
      <c r="E2">
        <f>+CON_2018_Commercial_MWH</f>
        <v>135612.9</v>
      </c>
      <c r="F2">
        <f>+CON_2018_Distribution_Expend</f>
        <v>0</v>
      </c>
      <c r="G2">
        <f>+CON_2018_Distribution_MWH</f>
        <v>3782</v>
      </c>
      <c r="H2">
        <f>+CON_2018_Expenditures</f>
        <v>91086596</v>
      </c>
      <c r="I2">
        <f>+CON_2018_Industrial_Expend</f>
        <v>4006487.6</v>
      </c>
      <c r="J2">
        <f>+CON_2018_Industrial_MWH</f>
        <v>15068.1</v>
      </c>
      <c r="K2">
        <f>+CON_2018_MWH</f>
        <v>299918</v>
      </c>
      <c r="L2">
        <f>+CON_2018_NEEA_Expend</f>
        <v>4033724</v>
      </c>
      <c r="M2">
        <f>+CON_2018_NEEA_MWH</f>
        <v>10775</v>
      </c>
      <c r="N2">
        <f>+CON_2018_OtherSector1_Expend</f>
        <v>13728</v>
      </c>
      <c r="O2">
        <f>+CON_2018_OtherSector1_MWH</f>
        <v>0</v>
      </c>
      <c r="P2">
        <f>+CON_2018_OtherSector2_Expend</f>
        <v>0</v>
      </c>
      <c r="Q2">
        <f>+CON_2018_OtherSector2_MWH</f>
        <v>0</v>
      </c>
      <c r="R2">
        <f>+CON_2018_Production_Expend</f>
        <v>0</v>
      </c>
      <c r="S2">
        <f>+CON_2018_Production_MWH</f>
        <v>0</v>
      </c>
      <c r="T2">
        <f>+CON_2018_Program1_Expend</f>
        <v>6856030</v>
      </c>
      <c r="U2">
        <f>+CON_2018_Program2_Expend</f>
        <v>1264225</v>
      </c>
      <c r="V2">
        <f>+CON_2018_Residential_Expend</f>
        <v>35316606</v>
      </c>
      <c r="W2">
        <f>+CON_2018_Residential_MWH</f>
        <v>134680</v>
      </c>
      <c r="X2">
        <f>+CON_2019_Agriculture_Expend</f>
        <v>0</v>
      </c>
      <c r="Y2">
        <f>+CON_2019_Agriculture_MWH</f>
        <v>0</v>
      </c>
      <c r="Z2">
        <f>+CON_2019_Commercial_Expend</f>
        <v>0</v>
      </c>
      <c r="AA2">
        <f>+CON_2019_Commercial_MWH</f>
        <v>0</v>
      </c>
      <c r="AB2">
        <f>+CON_2019_Distribution_Expend</f>
        <v>0</v>
      </c>
      <c r="AC2">
        <f>+CON_2019_Distribution_MWH</f>
        <v>0</v>
      </c>
      <c r="AD2">
        <f>+CON_2019_Expenditures</f>
        <v>0</v>
      </c>
      <c r="AE2">
        <f>+CON_2019_Industrial_Expend</f>
        <v>0</v>
      </c>
      <c r="AF2">
        <f>+CON_2019_Industrial_MWH</f>
        <v>0</v>
      </c>
      <c r="AG2">
        <f>+CON_2019_MWH</f>
        <v>0</v>
      </c>
      <c r="AH2">
        <f>+CON_2019_NEEA_Expend</f>
        <v>0</v>
      </c>
      <c r="AI2">
        <f>+CON_2019_NEEA_MWH</f>
        <v>0</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0</v>
      </c>
      <c r="AQ2">
        <f>+CON_2019_Program2_Expend</f>
        <v>0</v>
      </c>
      <c r="AR2">
        <f>+CON_2019_Residential_Expend</f>
        <v>0</v>
      </c>
      <c r="AS2">
        <f>+CON_2019_Residential_MWH</f>
        <v>0</v>
      </c>
      <c r="AT2" t="str">
        <f>+CON_Contact_Name</f>
        <v>Dan Anderson, Budget, Administration &amp; Regulatory</v>
      </c>
      <c r="AU2" t="str">
        <f>+CON_Email</f>
        <v>Dan.Anderson@pse.com</v>
      </c>
      <c r="AV2" t="str">
        <f>+CON_Phone</f>
        <v>425 424-6837</v>
      </c>
      <c r="AW2">
        <f>CON_Potential_2018_2027</f>
        <v>1799149</v>
      </c>
      <c r="AX2">
        <f>+CON_Report_Date</f>
        <v>43617</v>
      </c>
      <c r="AY2">
        <f>+CON_Target_2018_2019</f>
        <v>520456</v>
      </c>
    </row>
    <row r="6" spans="1:82" x14ac:dyDescent="0.3">
      <c r="A6" s="2" t="s">
        <v>13</v>
      </c>
    </row>
    <row r="7" spans="1:82" x14ac:dyDescent="0.3">
      <c r="A7" s="2" t="s">
        <v>14</v>
      </c>
    </row>
    <row r="8" spans="1:82" x14ac:dyDescent="0.3">
      <c r="A8" s="2" t="s">
        <v>31</v>
      </c>
    </row>
    <row r="9" spans="1:82" x14ac:dyDescent="0.3">
      <c r="A9" s="2" t="s">
        <v>33</v>
      </c>
    </row>
    <row r="10" spans="1:82" x14ac:dyDescent="0.3">
      <c r="A10" s="2" t="s">
        <v>34</v>
      </c>
    </row>
    <row r="11" spans="1:82" x14ac:dyDescent="0.3">
      <c r="A11" s="2" t="s">
        <v>32</v>
      </c>
    </row>
    <row r="12" spans="1:82" x14ac:dyDescent="0.3">
      <c r="A12" s="2" t="s">
        <v>15</v>
      </c>
    </row>
    <row r="13" spans="1:82" x14ac:dyDescent="0.3">
      <c r="A13" s="2" t="s">
        <v>19</v>
      </c>
    </row>
    <row r="14" spans="1:82" x14ac:dyDescent="0.3">
      <c r="A14" s="2" t="s">
        <v>16</v>
      </c>
    </row>
    <row r="15" spans="1:82" x14ac:dyDescent="0.3">
      <c r="A15" s="2" t="s">
        <v>30</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2017-11-01T07:00:00+00:00</OpenedDate>
    <SignificantOrder xmlns="dc463f71-b30c-4ab2-9473-d307f9d35888">false</SignificantOrder>
    <Date1 xmlns="dc463f71-b30c-4ab2-9473-d307f9d35888">2019-05-31T07:00:00+00:00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171087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94DBE7DCA5121488A0D40EC45325A1B" ma:contentTypeVersion="104" ma:contentTypeDescription="" ma:contentTypeScope="" ma:versionID="a1ea9f4bf6203f388277bd9c2e7b32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9EA97813-189A-4871-B536-B232FA344C19}"/>
</file>

<file path=customXml/itemProps3.xml><?xml version="1.0" encoding="utf-8"?>
<ds:datastoreItem xmlns:ds="http://schemas.openxmlformats.org/officeDocument/2006/customXml" ds:itemID="{B5134EF7-F04D-4218-953F-7A835D8EE7C1}">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sharepoint/v3"/>
    <ds:schemaRef ds:uri="http://schemas.microsoft.com/office/infopath/2007/PartnerControls"/>
    <ds:schemaRef ds:uri="http://purl.org/dc/elements/1.1/"/>
    <ds:schemaRef ds:uri="http://www.w3.org/XML/1998/namespace"/>
  </ds:schemaRefs>
</ds:datastoreItem>
</file>

<file path=customXml/itemProps4.xml><?xml version="1.0" encoding="utf-8"?>
<ds:datastoreItem xmlns:ds="http://schemas.openxmlformats.org/officeDocument/2006/customXml" ds:itemID="{DF74CA0A-6B4E-4C2A-956F-69247A308A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CON_Report_Date</vt:lpstr>
      <vt:lpstr>CON_Target_2018_2019</vt:lpstr>
      <vt:lpstr>CON_Utility_Name</vt:lpstr>
      <vt:lpstr>'Conservation Report'!Print_Area</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lastModifiedBy>Puget Sound Energy</cp:lastModifiedBy>
  <cp:lastPrinted>2019-04-03T22:15:51Z</cp:lastPrinted>
  <dcterms:created xsi:type="dcterms:W3CDTF">2012-03-20T21:01:26Z</dcterms:created>
  <dcterms:modified xsi:type="dcterms:W3CDTF">2019-05-06T21:38:09Z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0x0101006E56B4D1795A2E4DB2F0B01679ED314A00394DBE7DCA5121488A0D40EC45325A1B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