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3795" windowWidth="14325" windowHeight="5370" activeTab="1"/>
  </bookViews>
  <sheets>
    <sheet name="Exhibit MTT-2 Page 1" sheetId="1" r:id="rId1"/>
    <sheet name="Exhibit MTT-2 Page 2" sheetId="2" r:id="rId2"/>
    <sheet name="Exhibit MTT-2 Page 3" sheetId="3" r:id="rId3"/>
    <sheet name="Exhibit MTT-2 Page 4" sheetId="4" r:id="rId4"/>
    <sheet name="Exhibit MTT-2 Page 5" sheetId="5" r:id="rId5"/>
  </sheets>
  <definedNames/>
  <calcPr fullCalcOnLoad="1"/>
</workbook>
</file>

<file path=xl/sharedStrings.xml><?xml version="1.0" encoding="utf-8"?>
<sst xmlns="http://schemas.openxmlformats.org/spreadsheetml/2006/main" count="272" uniqueCount="161">
  <si>
    <t>Principal</t>
  </si>
  <si>
    <t>Line</t>
  </si>
  <si>
    <t>Coupon</t>
  </si>
  <si>
    <t>Maturity</t>
  </si>
  <si>
    <t>Settlement</t>
  </si>
  <si>
    <t>Issuance</t>
  </si>
  <si>
    <t>Loss/Reacq</t>
  </si>
  <si>
    <t>Net</t>
  </si>
  <si>
    <t>Yield to</t>
  </si>
  <si>
    <t>Outstanding</t>
  </si>
  <si>
    <t>Effective</t>
  </si>
  <si>
    <t>No.</t>
  </si>
  <si>
    <t>Rate</t>
  </si>
  <si>
    <t>Date</t>
  </si>
  <si>
    <t>Amount</t>
  </si>
  <si>
    <t>Costs</t>
  </si>
  <si>
    <t>Expenses</t>
  </si>
  <si>
    <t>Proceeds</t>
  </si>
  <si>
    <t>Cost</t>
  </si>
  <si>
    <t>Series Costs</t>
  </si>
  <si>
    <t>TOTAL LONG-TERM DEBT</t>
  </si>
  <si>
    <t>SMTN Series A</t>
  </si>
  <si>
    <t>SMTN Series B</t>
  </si>
  <si>
    <t>5.70% FMB's</t>
  </si>
  <si>
    <t>6.125% FMB's</t>
  </si>
  <si>
    <t>5.45% FMB's</t>
  </si>
  <si>
    <t>6.25% FMB's</t>
  </si>
  <si>
    <t>PCB's Kettle Falls</t>
  </si>
  <si>
    <t>MTN's Series C</t>
  </si>
  <si>
    <t>Repurchase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</si>
  <si>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</si>
  <si>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</si>
  <si>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</si>
  <si>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</si>
  <si>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</si>
  <si>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</si>
  <si>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</si>
  <si>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</si>
  <si>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</si>
  <si>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</si>
  <si>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 c)</t>
  </si>
  <si>
    <t>AVISTA CORPORATION</t>
  </si>
  <si>
    <t xml:space="preserve">  Cost of Capital as of</t>
  </si>
  <si>
    <t>Percent of</t>
  </si>
  <si>
    <t>Total Capital</t>
  </si>
  <si>
    <t>Component</t>
  </si>
  <si>
    <t xml:space="preserve">TOTAL   </t>
  </si>
  <si>
    <t>Common Equity</t>
  </si>
  <si>
    <t>Cost of Long-Term Debt Detail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</si>
  <si>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</si>
  <si>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</si>
  <si>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</si>
  <si>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</si>
  <si>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</si>
  <si>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</si>
  <si>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</si>
  <si>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</si>
  <si>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</si>
  <si>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</si>
  <si>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</si>
  <si>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</si>
  <si>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</si>
  <si>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</si>
  <si>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</si>
  <si>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 xml:space="preserve">Avg of </t>
  </si>
  <si>
    <t>Total Short Term Debt</t>
  </si>
  <si>
    <t>Number of Days in Month</t>
  </si>
  <si>
    <t>Total STD Interest Expense</t>
  </si>
  <si>
    <t>Ave Monthly Borrowing Rate</t>
  </si>
  <si>
    <t>Average Borrowing Rate</t>
  </si>
  <si>
    <t>Credit Facility</t>
  </si>
  <si>
    <t>Credit Agreement Amort of up-front costs</t>
  </si>
  <si>
    <t>Total Costs</t>
  </si>
  <si>
    <t>Total Borrowings</t>
  </si>
  <si>
    <t>Cost Rate</t>
  </si>
  <si>
    <t>Short Term-Debt</t>
  </si>
  <si>
    <t>The coupon rate used is the cost of debt at the time of the repurchases</t>
  </si>
  <si>
    <t>Cost of Short-Term Debt Detail</t>
  </si>
  <si>
    <t>CF Interest Expense</t>
  </si>
  <si>
    <r>
      <t xml:space="preserve"> (i)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Short term interest is calculated on the average balance for the month times the interest rate for the month times the actual days in the month divided by 360 days.</t>
    </r>
  </si>
  <si>
    <t>The amounts are calculated using the IRR function</t>
  </si>
  <si>
    <t>Description</t>
  </si>
  <si>
    <t>Credit Agreement Fees</t>
  </si>
  <si>
    <t>Proforma Cost of Long-Term Variable Rate</t>
  </si>
  <si>
    <t>(l)</t>
  </si>
  <si>
    <t>(m)</t>
  </si>
  <si>
    <t>(n)</t>
  </si>
  <si>
    <t>(o)</t>
  </si>
  <si>
    <t>Trust Preferred</t>
  </si>
  <si>
    <t>Trust Preferred Interest Expense</t>
  </si>
  <si>
    <t>Total Interest Expense</t>
  </si>
  <si>
    <t>Forecasted Monthly Borrowing Rate</t>
  </si>
  <si>
    <t>Average borrowing rate used in the caluclation of the effective costs below</t>
  </si>
  <si>
    <t>Var. Rate Long-Term Debt</t>
  </si>
  <si>
    <t>Information pulls from the - Var. Rate Long-Term tab</t>
  </si>
  <si>
    <t>Information pulls from the - Short-Term tab</t>
  </si>
  <si>
    <t>5.95% FMB's</t>
  </si>
  <si>
    <t>Long-term Securities Credit Ratings</t>
  </si>
  <si>
    <t>Standard &amp; Poor's</t>
  </si>
  <si>
    <t>Moody's</t>
  </si>
  <si>
    <t>Fitch</t>
  </si>
  <si>
    <t>Last Reviewed</t>
  </si>
  <si>
    <t>Credit Outlook</t>
  </si>
  <si>
    <t>Stable</t>
  </si>
  <si>
    <t>Positive</t>
  </si>
  <si>
    <t>AAA</t>
  </si>
  <si>
    <t>Aaa</t>
  </si>
  <si>
    <t>AA+</t>
  </si>
  <si>
    <t>Aa1</t>
  </si>
  <si>
    <t>AA</t>
  </si>
  <si>
    <t>Aa2</t>
  </si>
  <si>
    <t>AA-</t>
  </si>
  <si>
    <t>Aa3</t>
  </si>
  <si>
    <t>A+</t>
  </si>
  <si>
    <t>A1</t>
  </si>
  <si>
    <t>A</t>
  </si>
  <si>
    <t>A2</t>
  </si>
  <si>
    <t>A-</t>
  </si>
  <si>
    <t>A3</t>
  </si>
  <si>
    <t>BBB+</t>
  </si>
  <si>
    <t>First Mortgage Bonds</t>
  </si>
  <si>
    <t>Baa1</t>
  </si>
  <si>
    <t>Secured Medium-Term Notes</t>
  </si>
  <si>
    <t>BBB</t>
  </si>
  <si>
    <t>Baa2</t>
  </si>
  <si>
    <t>BBB-</t>
  </si>
  <si>
    <t>Avista Corp./Corporate rating</t>
  </si>
  <si>
    <t>Baa3</t>
  </si>
  <si>
    <t>Avista Corp./Issuer rating</t>
  </si>
  <si>
    <t>Senior Corporate Notes 9.75%</t>
  </si>
  <si>
    <t>INVESTMENT GRADE</t>
  </si>
  <si>
    <t>BB+</t>
  </si>
  <si>
    <t>Ba1</t>
  </si>
  <si>
    <t>Trust-Originated Preferred Securities</t>
  </si>
  <si>
    <t>BB</t>
  </si>
  <si>
    <t>Ba2</t>
  </si>
  <si>
    <t>BB-</t>
  </si>
  <si>
    <t>Ba3</t>
  </si>
  <si>
    <t>Capital Structure and Overall Rate of Return</t>
  </si>
  <si>
    <t>PRO FORMA</t>
  </si>
  <si>
    <t>Total Debt (1)</t>
  </si>
  <si>
    <t>(2)</t>
  </si>
  <si>
    <t>EMBEDDED</t>
  </si>
  <si>
    <t>(1) Includes short term debt</t>
  </si>
  <si>
    <t>(2) Proposed Return on Common Equity - See Avera testimony</t>
  </si>
  <si>
    <t>See supporting documentation</t>
  </si>
  <si>
    <t>All costs are shown before tax</t>
  </si>
  <si>
    <t>Assumptions</t>
  </si>
  <si>
    <t>2. Proforma through 12-31-2009</t>
  </si>
  <si>
    <t>1. Started with 9-30-2008 actual</t>
  </si>
  <si>
    <t>TOTAL PRO FORMA COST OF DEBT 12/31/2009</t>
  </si>
  <si>
    <t>Forecasted</t>
  </si>
  <si>
    <t>PBC's</t>
  </si>
  <si>
    <t>PCB's</t>
  </si>
  <si>
    <t>7.25% FMB's</t>
  </si>
  <si>
    <t>3. The forecasted equity and debt numbers come from forecast SEPT18 model run</t>
  </si>
  <si>
    <t>4. Equity is adjusted for Other Comprehensive Income and capital stock expense of $28,595,370</t>
  </si>
  <si>
    <t>5. Forecasted issuance of $94.2 million of additional equity through different company programs</t>
  </si>
  <si>
    <t>Forecasted Rates Trust Preferred</t>
  </si>
  <si>
    <t>Forecasted Rates PCB's</t>
  </si>
  <si>
    <t>Forecasted CF Borrowing Rate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</si>
</sst>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"/>
    <numFmt numFmtId="165" formatCode="#,##0\ ;\(#,##0\)"/>
    <numFmt numFmtId="166" formatCode="#,##0\ "/>
    <numFmt numFmtId="167" formatCode="&quot;$&quot;#,##0;\(&quot;$&quot;#,##0\)"/>
    <numFmt numFmtId="168" formatCode="&quot;$&quot;#,##0\);\(&quot;$&quot;#,##0\)"/>
    <numFmt numFmtId="169" formatCode="#,##0;\(#,##0\)"/>
    <numFmt numFmtId="170" formatCode="mmmm\ d\,\ yyyy"/>
    <numFmt numFmtId="171" formatCode="mmm\-dd\-yyyy"/>
    <numFmt numFmtId="172" formatCode="0.000"/>
    <numFmt numFmtId="173" formatCode="0.000%"/>
    <numFmt numFmtId="174" formatCode="0.0000"/>
    <numFmt numFmtId="175" formatCode="&quot;$&quot;0.00"/>
    <numFmt numFmtId="176" formatCode="&quot;$&quot;0.000"/>
    <numFmt numFmtId="177" formatCode="&quot;$&quot;#,##0.0_);[Red]\(&quot;$&quot;#,##0.0\)"/>
    <numFmt numFmtId="178" formatCode="0.0%"/>
    <numFmt numFmtId="179" formatCode="&quot;$&quot;#,##0.000_);[Red]\(&quot;$&quot;#,##0.000\)"/>
    <numFmt numFmtId="180" formatCode="&quot;$&quot;#,##0.0000_);[Red]\(&quot;$&quot;#,##0.0000\)"/>
    <numFmt numFmtId="181" formatCode="&quot;$&quot;#,##0.00000_);[Red]\(&quot;$&quot;#,##0.00000\)"/>
    <numFmt numFmtId="182" formatCode="&quot;$&quot;#,##0.000000_);[Red]\(&quot;$&quot;#,##0.000000\)"/>
    <numFmt numFmtId="183" formatCode="0.0000%"/>
    <numFmt numFmtId="184" formatCode="0.00000%"/>
    <numFmt numFmtId="185" formatCode="#,##0.0"/>
    <numFmt numFmtId="186" formatCode="0.0"/>
    <numFmt numFmtId="187" formatCode="0.0000000"/>
    <numFmt numFmtId="188" formatCode="#,##0.000"/>
    <numFmt numFmtId="189" formatCode="#,##0.0000"/>
    <numFmt numFmtId="190" formatCode="#,##0.00000"/>
    <numFmt numFmtId="191" formatCode="m/d/yy"/>
    <numFmt numFmtId="192" formatCode="0.0000000000000000%"/>
    <numFmt numFmtId="193" formatCode="0.000000000000000000%"/>
    <numFmt numFmtId="194" formatCode="0.00000000000000000%"/>
    <numFmt numFmtId="195" formatCode="0.0000000%"/>
    <numFmt numFmtId="196" formatCode="0.000000%"/>
    <numFmt numFmtId="197" formatCode="_(* #,##0_);_(* \(#,##0\);_(* &quot;-&quot;??_);_(@_)"/>
    <numFmt numFmtId="198" formatCode="#,##0.0000000"/>
    <numFmt numFmtId="199" formatCode="#,##0.00000000"/>
    <numFmt numFmtId="200" formatCode="_(* #,##0.000000_);_(* \(#,##0.000000\);_(* &quot;-&quot;??_);_(@_)"/>
    <numFmt numFmtId="201" formatCode="mmm\-yyyy"/>
    <numFmt numFmtId="202" formatCode="0_)"/>
    <numFmt numFmtId="203" formatCode="00000"/>
    <numFmt numFmtId="204" formatCode="[$-409]dddd\,\ mmmm\ dd\,\ yyyy"/>
    <numFmt numFmtId="205" formatCode="[$-409]mmmm\ d\,\ yyyy;@"/>
    <numFmt numFmtId="206" formatCode="[$-409]d\-mmm\-yy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$&quot;#,##0"/>
    <numFmt numFmtId="212" formatCode="0_);[Red]\(0\)"/>
    <numFmt numFmtId="213" formatCode="_(* #,##0.000_);_(* \(#,##0.000\);_(* &quot;-&quot;??_);_(@_)"/>
    <numFmt numFmtId="214" formatCode="_(* #,##0.0_);_(* \(#,##0.0\);_(* &quot;-&quot;??_);_(@_)"/>
    <numFmt numFmtId="215" formatCode="&quot;$&quot;#,##0.000_);\(&quot;$&quot;#,##0.000\)"/>
  </numFmts>
  <fonts count="27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2"/>
      <color indexed="9"/>
      <name val="Times New Roman"/>
      <family val="1"/>
    </font>
    <font>
      <sz val="12"/>
      <name val="Geneva"/>
      <family val="0"/>
    </font>
    <font>
      <sz val="12"/>
      <color indexed="9"/>
      <name val="Times New Roman"/>
      <family val="1"/>
    </font>
    <font>
      <b/>
      <sz val="12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24" applyFont="1" applyFill="1">
      <alignment/>
      <protection/>
    </xf>
    <xf numFmtId="171" fontId="4" fillId="0" borderId="0" xfId="24" applyNumberFormat="1" applyFont="1" applyFill="1">
      <alignment/>
      <protection/>
    </xf>
    <xf numFmtId="3" fontId="4" fillId="0" borderId="0" xfId="24" applyNumberFormat="1" applyFont="1" applyFill="1">
      <alignment/>
      <protection/>
    </xf>
    <xf numFmtId="172" fontId="4" fillId="0" borderId="0" xfId="24" applyNumberFormat="1" applyFont="1" applyFill="1">
      <alignment/>
      <protection/>
    </xf>
    <xf numFmtId="3" fontId="4" fillId="0" borderId="0" xfId="24" applyNumberFormat="1" applyFont="1" applyFill="1" applyAlignment="1">
      <alignment horizontal="center"/>
      <protection/>
    </xf>
    <xf numFmtId="0" fontId="1" fillId="0" borderId="0" xfId="24" applyFill="1">
      <alignment/>
      <protection/>
    </xf>
    <xf numFmtId="0" fontId="4" fillId="0" borderId="0" xfId="24" applyFont="1" applyFill="1" applyAlignment="1">
      <alignment horizontal="center"/>
      <protection/>
    </xf>
    <xf numFmtId="171" fontId="4" fillId="0" borderId="0" xfId="24" applyNumberFormat="1" applyFont="1" applyFill="1" applyAlignment="1">
      <alignment horizontal="center"/>
      <protection/>
    </xf>
    <xf numFmtId="172" fontId="4" fillId="0" borderId="0" xfId="24" applyNumberFormat="1" applyFont="1" applyFill="1" applyAlignment="1">
      <alignment horizontal="center"/>
      <protection/>
    </xf>
    <xf numFmtId="0" fontId="4" fillId="0" borderId="1" xfId="24" applyFont="1" applyFill="1" applyBorder="1" applyAlignment="1">
      <alignment horizontal="center"/>
      <protection/>
    </xf>
    <xf numFmtId="3" fontId="4" fillId="0" borderId="1" xfId="24" applyNumberFormat="1" applyFont="1" applyFill="1" applyBorder="1" applyAlignment="1">
      <alignment horizontal="center"/>
      <protection/>
    </xf>
    <xf numFmtId="171" fontId="4" fillId="0" borderId="1" xfId="24" applyNumberFormat="1" applyFont="1" applyFill="1" applyBorder="1" applyAlignment="1">
      <alignment horizontal="center"/>
      <protection/>
    </xf>
    <xf numFmtId="172" fontId="4" fillId="0" borderId="1" xfId="24" applyNumberFormat="1" applyFont="1" applyFill="1" applyBorder="1" applyAlignment="1">
      <alignment horizontal="center"/>
      <protection/>
    </xf>
    <xf numFmtId="14" fontId="4" fillId="0" borderId="1" xfId="24" applyNumberFormat="1" applyFont="1" applyFill="1" applyBorder="1" applyAlignment="1">
      <alignment horizontal="center"/>
      <protection/>
    </xf>
    <xf numFmtId="0" fontId="5" fillId="0" borderId="0" xfId="24" applyFont="1" applyFill="1">
      <alignment/>
      <protection/>
    </xf>
    <xf numFmtId="0" fontId="4" fillId="0" borderId="0" xfId="24" applyFont="1" applyFill="1" applyAlignment="1">
      <alignment horizontal="right"/>
      <protection/>
    </xf>
    <xf numFmtId="3" fontId="4" fillId="0" borderId="0" xfId="24" applyNumberFormat="1" applyFont="1" applyFill="1" applyAlignment="1">
      <alignment horizontal="right"/>
      <protection/>
    </xf>
    <xf numFmtId="14" fontId="4" fillId="0" borderId="0" xfId="24" applyNumberFormat="1" applyFont="1" applyFill="1" applyAlignment="1">
      <alignment horizontal="right"/>
      <protection/>
    </xf>
    <xf numFmtId="10" fontId="4" fillId="0" borderId="0" xfId="24" applyNumberFormat="1" applyFont="1" applyFill="1">
      <alignment/>
      <protection/>
    </xf>
    <xf numFmtId="173" fontId="4" fillId="0" borderId="0" xfId="25" applyNumberFormat="1" applyFont="1" applyFill="1" applyAlignment="1">
      <alignment/>
    </xf>
    <xf numFmtId="3" fontId="4" fillId="0" borderId="0" xfId="24" applyNumberFormat="1" applyFont="1" applyFill="1" applyBorder="1">
      <alignment/>
      <protection/>
    </xf>
    <xf numFmtId="0" fontId="4" fillId="0" borderId="0" xfId="24" applyFont="1" applyFill="1" applyBorder="1">
      <alignment/>
      <protection/>
    </xf>
    <xf numFmtId="14" fontId="4" fillId="0" borderId="0" xfId="24" applyNumberFormat="1" applyFont="1" applyFill="1">
      <alignment/>
      <protection/>
    </xf>
    <xf numFmtId="173" fontId="4" fillId="0" borderId="0" xfId="24" applyNumberFormat="1" applyFont="1" applyFill="1">
      <alignment/>
      <protection/>
    </xf>
    <xf numFmtId="3" fontId="4" fillId="0" borderId="1" xfId="24" applyNumberFormat="1" applyFont="1" applyFill="1" applyBorder="1">
      <alignment/>
      <protection/>
    </xf>
    <xf numFmtId="173" fontId="4" fillId="0" borderId="0" xfId="25" applyNumberFormat="1" applyFont="1" applyFill="1" applyBorder="1" applyAlignment="1">
      <alignment/>
    </xf>
    <xf numFmtId="4" fontId="4" fillId="0" borderId="0" xfId="24" applyNumberFormat="1" applyFont="1" applyFill="1">
      <alignment/>
      <protection/>
    </xf>
    <xf numFmtId="0" fontId="4" fillId="0" borderId="0" xfId="24" applyFont="1" applyFill="1">
      <alignment/>
      <protection/>
    </xf>
    <xf numFmtId="173" fontId="5" fillId="0" borderId="0" xfId="25" applyNumberFormat="1" applyFont="1" applyFill="1" applyAlignment="1">
      <alignment/>
    </xf>
    <xf numFmtId="3" fontId="4" fillId="0" borderId="2" xfId="24" applyNumberFormat="1" applyFont="1" applyFill="1" applyBorder="1">
      <alignment/>
      <protection/>
    </xf>
    <xf numFmtId="188" fontId="4" fillId="0" borderId="0" xfId="24" applyNumberFormat="1" applyFont="1" applyFill="1" applyAlignment="1">
      <alignment horizontal="right"/>
      <protection/>
    </xf>
    <xf numFmtId="203" fontId="4" fillId="0" borderId="0" xfId="24" applyNumberFormat="1" applyFont="1" applyFill="1" applyAlignment="1">
      <alignment horizontal="center"/>
      <protection/>
    </xf>
    <xf numFmtId="16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0" fontId="5" fillId="0" borderId="0" xfId="0" applyNumberFormat="1" applyFont="1" applyFill="1" applyAlignment="1">
      <alignment horizontal="left"/>
    </xf>
    <xf numFmtId="37" fontId="4" fillId="0" borderId="0" xfId="22" applyFont="1" applyFill="1" applyAlignment="1" applyProtection="1">
      <alignment horizontal="center"/>
      <protection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5" fontId="8" fillId="0" borderId="0" xfId="21" applyNumberFormat="1" applyFont="1" applyFill="1" applyBorder="1" applyProtection="1">
      <alignment/>
      <protection/>
    </xf>
    <xf numFmtId="0" fontId="4" fillId="0" borderId="0" xfId="0" applyFont="1" applyFill="1" applyBorder="1" applyAlignment="1">
      <alignment/>
    </xf>
    <xf numFmtId="0" fontId="8" fillId="0" borderId="0" xfId="21" applyFont="1" applyFill="1" applyBorder="1" applyProtection="1">
      <alignment/>
      <protection/>
    </xf>
    <xf numFmtId="0" fontId="0" fillId="0" borderId="0" xfId="0" applyFill="1" applyBorder="1" applyAlignment="1">
      <alignment/>
    </xf>
    <xf numFmtId="37" fontId="10" fillId="0" borderId="0" xfId="21" applyNumberFormat="1" applyFont="1" applyFill="1" applyBorder="1" applyProtection="1">
      <alignment/>
      <protection/>
    </xf>
    <xf numFmtId="5" fontId="8" fillId="0" borderId="2" xfId="21" applyNumberFormat="1" applyFont="1" applyFill="1" applyBorder="1" applyProtection="1">
      <alignment/>
      <protection/>
    </xf>
    <xf numFmtId="5" fontId="10" fillId="0" borderId="2" xfId="21" applyNumberFormat="1" applyFont="1" applyFill="1" applyBorder="1" applyProtection="1">
      <alignment/>
      <protection/>
    </xf>
    <xf numFmtId="0" fontId="11" fillId="0" borderId="0" xfId="0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/>
    </xf>
    <xf numFmtId="206" fontId="4" fillId="0" borderId="0" xfId="0" applyNumberFormat="1" applyFont="1" applyFill="1" applyBorder="1" applyAlignment="1">
      <alignment horizontal="left"/>
    </xf>
    <xf numFmtId="37" fontId="12" fillId="0" borderId="0" xfId="23" applyFont="1" applyFill="1" applyAlignment="1" applyProtection="1">
      <alignment horizontal="left"/>
      <protection/>
    </xf>
    <xf numFmtId="5" fontId="13" fillId="0" borderId="0" xfId="21" applyNumberFormat="1" applyFont="1" applyFill="1" applyBorder="1" applyAlignment="1" applyProtection="1">
      <alignment horizontal="left"/>
      <protection/>
    </xf>
    <xf numFmtId="37" fontId="14" fillId="0" borderId="0" xfId="22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97" fontId="4" fillId="0" borderId="0" xfId="15" applyNumberFormat="1" applyFont="1" applyFill="1" applyBorder="1" applyAlignment="1">
      <alignment/>
    </xf>
    <xf numFmtId="5" fontId="9" fillId="0" borderId="0" xfId="0" applyNumberFormat="1" applyFont="1" applyFill="1" applyBorder="1" applyAlignment="1">
      <alignment/>
    </xf>
    <xf numFmtId="37" fontId="4" fillId="0" borderId="0" xfId="22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197" fontId="5" fillId="0" borderId="0" xfId="15" applyNumberFormat="1" applyFont="1" applyFill="1" applyBorder="1" applyAlignment="1">
      <alignment/>
    </xf>
    <xf numFmtId="197" fontId="4" fillId="0" borderId="2" xfId="15" applyNumberFormat="1" applyFont="1" applyFill="1" applyBorder="1" applyAlignment="1">
      <alignment/>
    </xf>
    <xf numFmtId="5" fontId="4" fillId="0" borderId="0" xfId="0" applyNumberFormat="1" applyFont="1" applyFill="1" applyAlignment="1">
      <alignment/>
    </xf>
    <xf numFmtId="5" fontId="4" fillId="0" borderId="1" xfId="0" applyNumberFormat="1" applyFont="1" applyFill="1" applyBorder="1" applyAlignment="1">
      <alignment/>
    </xf>
    <xf numFmtId="0" fontId="15" fillId="0" borderId="0" xfId="24" applyFont="1" applyFill="1">
      <alignment/>
      <protection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16" fillId="0" borderId="0" xfId="24" applyNumberFormat="1" applyFont="1" applyFill="1">
      <alignment/>
      <protection/>
    </xf>
    <xf numFmtId="173" fontId="16" fillId="0" borderId="0" xfId="25" applyNumberFormat="1" applyFont="1" applyFill="1" applyAlignment="1">
      <alignment/>
    </xf>
    <xf numFmtId="0" fontId="17" fillId="0" borderId="0" xfId="24" applyFont="1" applyFill="1">
      <alignment/>
      <protection/>
    </xf>
    <xf numFmtId="0" fontId="16" fillId="0" borderId="0" xfId="24" applyFont="1" applyFill="1">
      <alignment/>
      <protection/>
    </xf>
    <xf numFmtId="171" fontId="16" fillId="0" borderId="0" xfId="24" applyNumberFormat="1" applyFont="1" applyFill="1">
      <alignment/>
      <protection/>
    </xf>
    <xf numFmtId="3" fontId="1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24" applyFont="1" applyFill="1" applyBorder="1" applyAlignment="1">
      <alignment horizontal="center"/>
      <protection/>
    </xf>
    <xf numFmtId="5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" xfId="0" applyFont="1" applyBorder="1" applyAlignment="1">
      <alignment/>
    </xf>
    <xf numFmtId="0" fontId="22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3" xfId="0" applyFont="1" applyBorder="1" applyAlignment="1">
      <alignment/>
    </xf>
    <xf numFmtId="0" fontId="23" fillId="0" borderId="3" xfId="0" applyFont="1" applyBorder="1" applyAlignment="1">
      <alignment/>
    </xf>
    <xf numFmtId="0" fontId="23" fillId="0" borderId="3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05" fontId="22" fillId="0" borderId="0" xfId="24" applyNumberFormat="1" applyFont="1" applyFill="1" applyAlignment="1">
      <alignment horizontal="center"/>
      <protection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70" fontId="22" fillId="0" borderId="0" xfId="0" applyNumberFormat="1" applyFont="1" applyAlignment="1">
      <alignment horizontal="center"/>
    </xf>
    <xf numFmtId="3" fontId="22" fillId="0" borderId="1" xfId="0" applyNumberFormat="1" applyFont="1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/>
    </xf>
    <xf numFmtId="37" fontId="22" fillId="0" borderId="0" xfId="22" applyFont="1" applyFill="1" applyAlignment="1" applyProtection="1">
      <alignment horizontal="center"/>
      <protection/>
    </xf>
    <xf numFmtId="37" fontId="22" fillId="0" borderId="0" xfId="22" applyFont="1" applyFill="1" applyBorder="1" applyAlignment="1" applyProtection="1">
      <alignment horizontal="center"/>
      <protection/>
    </xf>
    <xf numFmtId="167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10" fontId="22" fillId="0" borderId="0" xfId="25" applyNumberFormat="1" applyFont="1" applyAlignment="1">
      <alignment/>
    </xf>
    <xf numFmtId="173" fontId="22" fillId="0" borderId="0" xfId="25" applyNumberFormat="1" applyFont="1" applyAlignment="1">
      <alignment/>
    </xf>
    <xf numFmtId="169" fontId="22" fillId="0" borderId="1" xfId="0" applyNumberFormat="1" applyFont="1" applyFill="1" applyBorder="1" applyAlignment="1">
      <alignment/>
    </xf>
    <xf numFmtId="10" fontId="22" fillId="0" borderId="1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10" fontId="23" fillId="0" borderId="4" xfId="25" applyNumberFormat="1" applyFont="1" applyBorder="1" applyAlignment="1">
      <alignment/>
    </xf>
    <xf numFmtId="2" fontId="22" fillId="0" borderId="0" xfId="0" applyNumberFormat="1" applyFont="1" applyAlignment="1" quotePrefix="1">
      <alignment/>
    </xf>
    <xf numFmtId="10" fontId="22" fillId="0" borderId="1" xfId="25" applyNumberFormat="1" applyFont="1" applyBorder="1" applyAlignment="1">
      <alignment/>
    </xf>
    <xf numFmtId="0" fontId="22" fillId="0" borderId="0" xfId="0" applyFont="1" applyAlignment="1">
      <alignment horizontal="right"/>
    </xf>
    <xf numFmtId="167" fontId="22" fillId="0" borderId="5" xfId="0" applyNumberFormat="1" applyFont="1" applyBorder="1" applyAlignment="1">
      <alignment/>
    </xf>
    <xf numFmtId="10" fontId="22" fillId="0" borderId="5" xfId="0" applyNumberFormat="1" applyFont="1" applyBorder="1" applyAlignment="1">
      <alignment/>
    </xf>
    <xf numFmtId="10" fontId="23" fillId="0" borderId="4" xfId="0" applyNumberFormat="1" applyFont="1" applyBorder="1" applyAlignment="1">
      <alignment/>
    </xf>
    <xf numFmtId="0" fontId="4" fillId="2" borderId="0" xfId="24" applyFont="1" applyFill="1" applyAlignment="1">
      <alignment horizontal="right"/>
      <protection/>
    </xf>
    <xf numFmtId="0" fontId="4" fillId="2" borderId="0" xfId="24" applyFont="1" applyFill="1">
      <alignment/>
      <protection/>
    </xf>
    <xf numFmtId="1" fontId="4" fillId="0" borderId="0" xfId="24" applyNumberFormat="1" applyFont="1" applyFill="1">
      <alignment/>
      <protection/>
    </xf>
    <xf numFmtId="14" fontId="4" fillId="2" borderId="0" xfId="24" applyNumberFormat="1" applyFont="1" applyFill="1" applyAlignment="1">
      <alignment horizontal="right"/>
      <protection/>
    </xf>
    <xf numFmtId="3" fontId="4" fillId="2" borderId="0" xfId="24" applyNumberFormat="1" applyFont="1" applyFill="1">
      <alignment/>
      <protection/>
    </xf>
    <xf numFmtId="10" fontId="4" fillId="2" borderId="0" xfId="24" applyNumberFormat="1" applyFont="1" applyFill="1">
      <alignment/>
      <protection/>
    </xf>
    <xf numFmtId="3" fontId="4" fillId="2" borderId="0" xfId="24" applyNumberFormat="1" applyFont="1" applyFill="1" applyBorder="1">
      <alignment/>
      <protection/>
    </xf>
    <xf numFmtId="0" fontId="4" fillId="2" borderId="0" xfId="24" applyFont="1" applyFill="1" applyBorder="1">
      <alignment/>
      <protection/>
    </xf>
    <xf numFmtId="173" fontId="4" fillId="2" borderId="0" xfId="25" applyNumberFormat="1" applyFont="1" applyFill="1" applyBorder="1" applyAlignment="1">
      <alignment/>
    </xf>
    <xf numFmtId="0" fontId="4" fillId="0" borderId="0" xfId="24" applyFont="1" applyFill="1" applyAlignment="1">
      <alignment/>
      <protection/>
    </xf>
    <xf numFmtId="3" fontId="16" fillId="0" borderId="0" xfId="0" applyNumberFormat="1" applyFont="1" applyFill="1" applyBorder="1" applyAlignment="1">
      <alignment/>
    </xf>
    <xf numFmtId="0" fontId="18" fillId="3" borderId="0" xfId="24" applyFont="1" applyFill="1" applyAlignment="1">
      <alignment horizontal="center"/>
      <protection/>
    </xf>
    <xf numFmtId="0" fontId="20" fillId="3" borderId="0" xfId="24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205" fontId="20" fillId="3" borderId="0" xfId="24" applyNumberFormat="1" applyFont="1" applyFill="1" applyAlignment="1">
      <alignment horizontal="center"/>
      <protection/>
    </xf>
    <xf numFmtId="0" fontId="7" fillId="3" borderId="0" xfId="24" applyFont="1" applyFill="1" applyAlignment="1">
      <alignment horizontal="center"/>
      <protection/>
    </xf>
    <xf numFmtId="0" fontId="6" fillId="3" borderId="0" xfId="24" applyFont="1" applyFill="1" applyAlignment="1">
      <alignment horizontal="center"/>
      <protection/>
    </xf>
    <xf numFmtId="205" fontId="6" fillId="3" borderId="0" xfId="24" applyNumberFormat="1" applyFont="1" applyFill="1" applyAlignment="1">
      <alignment horizontal="center"/>
      <protection/>
    </xf>
    <xf numFmtId="5" fontId="13" fillId="0" borderId="0" xfId="21" applyNumberFormat="1" applyFont="1" applyFill="1" applyBorder="1" applyAlignment="1" applyProtection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MACAPST" xfId="21"/>
    <cellStyle name="Normal_COSTOF" xfId="22"/>
    <cellStyle name="Normal_COSTOFPR" xfId="23"/>
    <cellStyle name="Normal_UE-070804 et al Exhibits KLE 3 and 4 CONFIDENTIAL 10-17-07" xfId="24"/>
    <cellStyle name="Percent" xfId="25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5" zoomScaleNormal="75" workbookViewId="0" topLeftCell="A2">
      <selection activeCell="A44" sqref="A44"/>
    </sheetView>
  </sheetViews>
  <sheetFormatPr defaultColWidth="9.140625" defaultRowHeight="12.75"/>
  <cols>
    <col min="1" max="1" width="16.00390625" style="80" customWidth="1"/>
    <col min="2" max="2" width="4.7109375" style="81" customWidth="1"/>
    <col min="3" max="3" width="2.7109375" style="80" customWidth="1"/>
    <col min="4" max="5" width="10.7109375" style="80" customWidth="1"/>
    <col min="6" max="6" width="20.7109375" style="80" customWidth="1"/>
    <col min="7" max="7" width="3.28125" style="80" customWidth="1"/>
    <col min="8" max="8" width="4.7109375" style="81" customWidth="1"/>
    <col min="9" max="9" width="2.7109375" style="80" customWidth="1"/>
    <col min="10" max="11" width="10.7109375" style="80" customWidth="1"/>
    <col min="12" max="12" width="20.7109375" style="80" customWidth="1"/>
    <col min="13" max="13" width="3.28125" style="80" customWidth="1"/>
    <col min="14" max="14" width="4.7109375" style="81" customWidth="1"/>
    <col min="15" max="15" width="2.7109375" style="80" customWidth="1"/>
    <col min="16" max="17" width="10.7109375" style="80" customWidth="1"/>
    <col min="18" max="18" width="20.7109375" style="80" customWidth="1"/>
    <col min="19" max="16384" width="10.7109375" style="80" customWidth="1"/>
  </cols>
  <sheetData>
    <row r="1" spans="1:19" ht="15.75">
      <c r="A1" s="135" t="s">
        <v>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5.75" customHeight="1">
      <c r="A2" s="136" t="s">
        <v>97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15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ht="12.75" customHeight="1"/>
    <row r="5" spans="1:19" ht="15.75">
      <c r="A5" s="82"/>
      <c r="B5" s="83"/>
      <c r="C5" s="84"/>
      <c r="D5" s="85" t="s">
        <v>98</v>
      </c>
      <c r="E5" s="84"/>
      <c r="F5" s="84"/>
      <c r="G5" s="82"/>
      <c r="H5" s="83"/>
      <c r="I5" s="84"/>
      <c r="J5" s="85" t="s">
        <v>99</v>
      </c>
      <c r="K5" s="84"/>
      <c r="L5" s="84"/>
      <c r="M5" s="82"/>
      <c r="N5" s="83"/>
      <c r="O5" s="84"/>
      <c r="P5" s="85" t="s">
        <v>100</v>
      </c>
      <c r="Q5" s="84"/>
      <c r="R5" s="84"/>
      <c r="S5" s="82"/>
    </row>
    <row r="6" spans="1:19" ht="15.75">
      <c r="A6" s="82"/>
      <c r="B6" s="86"/>
      <c r="C6" s="82"/>
      <c r="D6" s="82"/>
      <c r="E6" s="82"/>
      <c r="F6" s="82"/>
      <c r="G6" s="82"/>
      <c r="H6" s="86"/>
      <c r="I6" s="82"/>
      <c r="J6" s="82"/>
      <c r="K6" s="82"/>
      <c r="L6" s="82"/>
      <c r="M6" s="82"/>
      <c r="N6" s="86"/>
      <c r="O6" s="82"/>
      <c r="P6" s="82"/>
      <c r="Q6" s="82"/>
      <c r="R6" s="82"/>
      <c r="S6" s="82"/>
    </row>
    <row r="7" spans="1:19" ht="15.75">
      <c r="A7" s="86" t="s">
        <v>101</v>
      </c>
      <c r="B7" s="86"/>
      <c r="C7" s="82"/>
      <c r="D7" s="87" t="str">
        <f>"February 2008"</f>
        <v>February 2008</v>
      </c>
      <c r="E7" s="87"/>
      <c r="F7" s="87"/>
      <c r="G7" s="82"/>
      <c r="H7" s="86"/>
      <c r="I7" s="82"/>
      <c r="J7" s="87" t="str">
        <f>"December 2007"</f>
        <v>December 2007</v>
      </c>
      <c r="K7" s="87"/>
      <c r="L7" s="87"/>
      <c r="M7" s="82"/>
      <c r="N7" s="86"/>
      <c r="O7" s="82"/>
      <c r="P7" s="87" t="str">
        <f>"August 2007"</f>
        <v>August 2007</v>
      </c>
      <c r="Q7" s="87"/>
      <c r="R7" s="87"/>
      <c r="S7" s="82"/>
    </row>
    <row r="8" spans="1:19" ht="15.75">
      <c r="A8" s="82"/>
      <c r="B8" s="86"/>
      <c r="C8" s="82"/>
      <c r="D8" s="82"/>
      <c r="E8" s="82"/>
      <c r="F8" s="82"/>
      <c r="G8" s="82"/>
      <c r="H8" s="86"/>
      <c r="I8" s="82"/>
      <c r="J8" s="82"/>
      <c r="K8" s="82"/>
      <c r="L8" s="82"/>
      <c r="M8" s="82"/>
      <c r="N8" s="86"/>
      <c r="O8" s="82"/>
      <c r="P8" s="82"/>
      <c r="Q8" s="82"/>
      <c r="R8" s="82"/>
      <c r="S8" s="82"/>
    </row>
    <row r="9" spans="1:19" ht="15.75">
      <c r="A9" s="88" t="s">
        <v>102</v>
      </c>
      <c r="B9" s="86"/>
      <c r="C9" s="82"/>
      <c r="D9" s="137" t="s">
        <v>103</v>
      </c>
      <c r="E9" s="137"/>
      <c r="F9" s="137"/>
      <c r="G9" s="82"/>
      <c r="H9" s="86"/>
      <c r="I9" s="82"/>
      <c r="J9" s="137" t="s">
        <v>103</v>
      </c>
      <c r="K9" s="137"/>
      <c r="L9" s="137"/>
      <c r="M9" s="82"/>
      <c r="N9" s="86"/>
      <c r="O9" s="82"/>
      <c r="P9" s="137" t="s">
        <v>104</v>
      </c>
      <c r="Q9" s="137"/>
      <c r="R9" s="137"/>
      <c r="S9" s="82"/>
    </row>
    <row r="10" spans="1:19" ht="15.75">
      <c r="A10" s="82"/>
      <c r="B10" s="86"/>
      <c r="C10" s="82"/>
      <c r="D10" s="82"/>
      <c r="E10" s="82"/>
      <c r="F10" s="82"/>
      <c r="G10" s="82"/>
      <c r="H10" s="86"/>
      <c r="I10" s="82"/>
      <c r="J10" s="82"/>
      <c r="K10" s="82"/>
      <c r="L10" s="82"/>
      <c r="M10" s="82"/>
      <c r="N10" s="86"/>
      <c r="O10" s="82"/>
      <c r="P10" s="82"/>
      <c r="Q10" s="82"/>
      <c r="R10" s="82"/>
      <c r="S10" s="82"/>
    </row>
    <row r="11" spans="1:19" ht="15.75" hidden="1">
      <c r="A11" s="82"/>
      <c r="B11" s="86" t="s">
        <v>105</v>
      </c>
      <c r="C11" s="82"/>
      <c r="D11" s="82"/>
      <c r="E11" s="82"/>
      <c r="F11" s="82"/>
      <c r="G11" s="82"/>
      <c r="H11" s="86" t="s">
        <v>106</v>
      </c>
      <c r="I11" s="82"/>
      <c r="J11" s="82"/>
      <c r="K11" s="82"/>
      <c r="L11" s="82"/>
      <c r="M11" s="82"/>
      <c r="N11" s="86" t="s">
        <v>105</v>
      </c>
      <c r="O11" s="82"/>
      <c r="P11" s="82"/>
      <c r="Q11" s="82"/>
      <c r="R11" s="82"/>
      <c r="S11" s="82"/>
    </row>
    <row r="12" spans="1:19" ht="15.75" hidden="1">
      <c r="A12" s="82"/>
      <c r="B12" s="86"/>
      <c r="C12" s="82"/>
      <c r="D12" s="82"/>
      <c r="E12" s="82"/>
      <c r="F12" s="82"/>
      <c r="G12" s="82"/>
      <c r="H12" s="86"/>
      <c r="I12" s="82"/>
      <c r="J12" s="82"/>
      <c r="K12" s="82"/>
      <c r="L12" s="82"/>
      <c r="M12" s="82"/>
      <c r="N12" s="86"/>
      <c r="O12" s="82"/>
      <c r="P12" s="82"/>
      <c r="Q12" s="82"/>
      <c r="R12" s="82"/>
      <c r="S12" s="82"/>
    </row>
    <row r="13" spans="1:19" ht="15.75" hidden="1">
      <c r="A13" s="82"/>
      <c r="B13" s="86" t="s">
        <v>107</v>
      </c>
      <c r="C13" s="82"/>
      <c r="D13" s="82"/>
      <c r="E13" s="82"/>
      <c r="F13" s="82"/>
      <c r="G13" s="82"/>
      <c r="H13" s="86" t="s">
        <v>108</v>
      </c>
      <c r="I13" s="82"/>
      <c r="J13" s="82"/>
      <c r="K13" s="82"/>
      <c r="L13" s="82"/>
      <c r="M13" s="82"/>
      <c r="N13" s="86" t="s">
        <v>107</v>
      </c>
      <c r="O13" s="82"/>
      <c r="P13" s="82"/>
      <c r="Q13" s="82"/>
      <c r="R13" s="82"/>
      <c r="S13" s="82"/>
    </row>
    <row r="14" spans="1:19" ht="15.75" hidden="1">
      <c r="A14" s="82"/>
      <c r="B14" s="86"/>
      <c r="C14" s="82"/>
      <c r="D14" s="82"/>
      <c r="E14" s="82"/>
      <c r="F14" s="82"/>
      <c r="G14" s="82"/>
      <c r="H14" s="86"/>
      <c r="I14" s="82"/>
      <c r="J14" s="82"/>
      <c r="K14" s="82"/>
      <c r="L14" s="82"/>
      <c r="M14" s="82"/>
      <c r="N14" s="86"/>
      <c r="O14" s="82"/>
      <c r="P14" s="82"/>
      <c r="Q14" s="82"/>
      <c r="R14" s="82"/>
      <c r="S14" s="82"/>
    </row>
    <row r="15" spans="1:19" ht="15.75" hidden="1">
      <c r="A15" s="82"/>
      <c r="B15" s="86" t="s">
        <v>109</v>
      </c>
      <c r="C15" s="82"/>
      <c r="D15" s="82"/>
      <c r="E15" s="82"/>
      <c r="F15" s="82"/>
      <c r="G15" s="82"/>
      <c r="H15" s="86" t="s">
        <v>110</v>
      </c>
      <c r="I15" s="82"/>
      <c r="J15" s="82"/>
      <c r="K15" s="82"/>
      <c r="L15" s="82"/>
      <c r="M15" s="82"/>
      <c r="N15" s="86" t="s">
        <v>109</v>
      </c>
      <c r="O15" s="82"/>
      <c r="P15" s="82"/>
      <c r="Q15" s="82"/>
      <c r="R15" s="82"/>
      <c r="S15" s="82"/>
    </row>
    <row r="16" spans="1:19" ht="15.75" hidden="1">
      <c r="A16" s="82"/>
      <c r="B16" s="86"/>
      <c r="C16" s="82"/>
      <c r="D16" s="82"/>
      <c r="E16" s="82"/>
      <c r="F16" s="82"/>
      <c r="G16" s="82"/>
      <c r="H16" s="86"/>
      <c r="I16" s="82"/>
      <c r="J16" s="82"/>
      <c r="K16" s="82"/>
      <c r="L16" s="82"/>
      <c r="M16" s="82"/>
      <c r="N16" s="86"/>
      <c r="O16" s="82"/>
      <c r="P16" s="82"/>
      <c r="Q16" s="82"/>
      <c r="R16" s="82"/>
      <c r="S16" s="82"/>
    </row>
    <row r="17" spans="1:19" ht="15.75" hidden="1">
      <c r="A17" s="82"/>
      <c r="B17" s="86" t="s">
        <v>111</v>
      </c>
      <c r="C17" s="82"/>
      <c r="D17" s="82"/>
      <c r="E17" s="82"/>
      <c r="F17" s="82"/>
      <c r="G17" s="82"/>
      <c r="H17" s="86" t="s">
        <v>112</v>
      </c>
      <c r="I17" s="82"/>
      <c r="J17" s="82"/>
      <c r="K17" s="82"/>
      <c r="L17" s="82"/>
      <c r="M17" s="82"/>
      <c r="N17" s="86" t="s">
        <v>111</v>
      </c>
      <c r="O17" s="82"/>
      <c r="P17" s="82"/>
      <c r="Q17" s="82"/>
      <c r="R17" s="82"/>
      <c r="S17" s="82"/>
    </row>
    <row r="18" spans="1:19" ht="15.75" hidden="1">
      <c r="A18" s="82"/>
      <c r="B18" s="86"/>
      <c r="C18" s="82"/>
      <c r="D18" s="82"/>
      <c r="E18" s="82"/>
      <c r="F18" s="82"/>
      <c r="G18" s="82"/>
      <c r="H18" s="86"/>
      <c r="I18" s="82"/>
      <c r="J18" s="82"/>
      <c r="K18" s="82"/>
      <c r="L18" s="82"/>
      <c r="M18" s="82"/>
      <c r="N18" s="86"/>
      <c r="O18" s="82"/>
      <c r="P18" s="82"/>
      <c r="Q18" s="82"/>
      <c r="R18" s="82"/>
      <c r="S18" s="82"/>
    </row>
    <row r="19" spans="1:19" ht="15.75">
      <c r="A19" s="82"/>
      <c r="B19" s="86" t="s">
        <v>113</v>
      </c>
      <c r="C19" s="82"/>
      <c r="D19" s="82"/>
      <c r="E19" s="82"/>
      <c r="F19" s="82"/>
      <c r="G19" s="82"/>
      <c r="H19" s="86" t="s">
        <v>114</v>
      </c>
      <c r="I19" s="82"/>
      <c r="J19" s="82"/>
      <c r="K19" s="82"/>
      <c r="L19" s="82"/>
      <c r="M19" s="82"/>
      <c r="N19" s="86" t="s">
        <v>113</v>
      </c>
      <c r="O19" s="82"/>
      <c r="P19" s="82"/>
      <c r="Q19" s="82"/>
      <c r="R19" s="82"/>
      <c r="S19" s="82"/>
    </row>
    <row r="20" spans="1:19" ht="15.75">
      <c r="A20" s="82"/>
      <c r="B20" s="86"/>
      <c r="C20" s="82"/>
      <c r="D20" s="82"/>
      <c r="E20" s="82"/>
      <c r="F20" s="82"/>
      <c r="G20" s="82"/>
      <c r="H20" s="86"/>
      <c r="I20" s="82"/>
      <c r="J20" s="82"/>
      <c r="K20" s="82"/>
      <c r="L20" s="82"/>
      <c r="M20" s="82"/>
      <c r="N20" s="86"/>
      <c r="O20" s="82"/>
      <c r="P20" s="82"/>
      <c r="Q20" s="82"/>
      <c r="R20" s="82"/>
      <c r="S20" s="82"/>
    </row>
    <row r="21" spans="1:19" ht="15.75">
      <c r="A21" s="82"/>
      <c r="B21" s="86" t="s">
        <v>115</v>
      </c>
      <c r="C21" s="82"/>
      <c r="D21" s="82"/>
      <c r="E21" s="82"/>
      <c r="F21" s="82"/>
      <c r="G21" s="82"/>
      <c r="H21" s="86" t="s">
        <v>116</v>
      </c>
      <c r="I21" s="82"/>
      <c r="J21" s="82"/>
      <c r="K21" s="82"/>
      <c r="L21" s="82"/>
      <c r="M21" s="82"/>
      <c r="N21" s="86" t="s">
        <v>115</v>
      </c>
      <c r="O21" s="82"/>
      <c r="P21" s="82"/>
      <c r="Q21" s="82"/>
      <c r="R21" s="82"/>
      <c r="S21" s="82"/>
    </row>
    <row r="22" spans="1:19" ht="15.75">
      <c r="A22" s="82"/>
      <c r="B22" s="86"/>
      <c r="C22" s="82"/>
      <c r="D22" s="82"/>
      <c r="E22" s="82"/>
      <c r="F22" s="82"/>
      <c r="G22" s="82"/>
      <c r="H22" s="86"/>
      <c r="I22" s="82"/>
      <c r="J22" s="82"/>
      <c r="K22" s="82"/>
      <c r="L22" s="82"/>
      <c r="M22" s="82"/>
      <c r="N22" s="86"/>
      <c r="O22" s="82"/>
      <c r="P22" s="82"/>
      <c r="Q22" s="82"/>
      <c r="R22" s="82"/>
      <c r="S22" s="82"/>
    </row>
    <row r="23" spans="1:19" ht="15.75">
      <c r="A23" s="82"/>
      <c r="B23" s="86"/>
      <c r="C23" s="82"/>
      <c r="D23" s="82"/>
      <c r="E23" s="82"/>
      <c r="F23" s="82"/>
      <c r="G23" s="82"/>
      <c r="H23" s="86"/>
      <c r="I23" s="82"/>
      <c r="J23" s="82"/>
      <c r="K23" s="82"/>
      <c r="L23" s="82"/>
      <c r="M23" s="82"/>
      <c r="N23" s="86"/>
      <c r="O23" s="82"/>
      <c r="P23" s="82"/>
      <c r="Q23" s="82"/>
      <c r="R23" s="82"/>
      <c r="S23" s="82"/>
    </row>
    <row r="24" spans="1:19" ht="15.75">
      <c r="A24" s="82"/>
      <c r="B24" s="86" t="s">
        <v>117</v>
      </c>
      <c r="C24" s="82"/>
      <c r="D24" s="82"/>
      <c r="E24" s="82"/>
      <c r="F24" s="82"/>
      <c r="G24" s="82"/>
      <c r="H24" s="86" t="s">
        <v>118</v>
      </c>
      <c r="I24" s="82"/>
      <c r="J24" s="82"/>
      <c r="K24" s="82"/>
      <c r="L24" s="82"/>
      <c r="M24" s="82"/>
      <c r="N24" s="86" t="s">
        <v>117</v>
      </c>
      <c r="O24" s="82"/>
      <c r="P24" s="82"/>
      <c r="Q24" s="82"/>
      <c r="R24" s="82"/>
      <c r="S24" s="82"/>
    </row>
    <row r="25" spans="1:19" ht="15.75">
      <c r="A25" s="82"/>
      <c r="B25" s="86"/>
      <c r="C25" s="82"/>
      <c r="D25" s="82"/>
      <c r="E25" s="82"/>
      <c r="F25" s="82"/>
      <c r="G25" s="82"/>
      <c r="H25" s="86"/>
      <c r="I25" s="82"/>
      <c r="J25" s="82"/>
      <c r="K25" s="82"/>
      <c r="L25" s="82"/>
      <c r="M25" s="82"/>
      <c r="N25" s="86"/>
      <c r="O25" s="82"/>
      <c r="P25" s="82"/>
      <c r="Q25" s="82"/>
      <c r="R25" s="82"/>
      <c r="S25" s="82"/>
    </row>
    <row r="26" spans="1:19" ht="15.75">
      <c r="A26" s="82"/>
      <c r="B26" s="86"/>
      <c r="C26" s="82"/>
      <c r="D26" s="82"/>
      <c r="E26" s="82"/>
      <c r="F26" s="82"/>
      <c r="G26" s="82"/>
      <c r="H26" s="86"/>
      <c r="I26" s="82"/>
      <c r="J26" s="82"/>
      <c r="K26" s="82"/>
      <c r="L26" s="82"/>
      <c r="M26" s="82"/>
      <c r="N26" s="86"/>
      <c r="O26" s="82"/>
      <c r="P26" s="82"/>
      <c r="Q26" s="82"/>
      <c r="R26" s="82"/>
      <c r="S26" s="82"/>
    </row>
    <row r="27" spans="1:19" ht="15.75">
      <c r="A27" s="82"/>
      <c r="B27" s="86"/>
      <c r="C27" s="82"/>
      <c r="D27" s="82"/>
      <c r="E27" s="82"/>
      <c r="F27" s="82"/>
      <c r="G27" s="82"/>
      <c r="H27" s="86"/>
      <c r="I27" s="82"/>
      <c r="J27" s="82"/>
      <c r="K27" s="82"/>
      <c r="L27" s="82"/>
      <c r="M27" s="82"/>
      <c r="N27" s="86"/>
      <c r="O27" s="82"/>
      <c r="P27" s="82"/>
      <c r="Q27" s="82"/>
      <c r="R27" s="82"/>
      <c r="S27" s="82"/>
    </row>
    <row r="28" spans="1:19" ht="15.75">
      <c r="A28" s="82"/>
      <c r="B28" s="86" t="s">
        <v>119</v>
      </c>
      <c r="C28" s="82"/>
      <c r="D28" s="82" t="s">
        <v>120</v>
      </c>
      <c r="E28" s="82"/>
      <c r="F28" s="82"/>
      <c r="G28" s="82"/>
      <c r="H28" s="86" t="s">
        <v>121</v>
      </c>
      <c r="I28" s="82"/>
      <c r="J28" s="82"/>
      <c r="K28" s="82"/>
      <c r="L28" s="82"/>
      <c r="M28" s="82"/>
      <c r="N28" s="86" t="s">
        <v>119</v>
      </c>
      <c r="O28" s="82"/>
      <c r="P28" s="82"/>
      <c r="Q28" s="82"/>
      <c r="R28" s="82"/>
      <c r="S28" s="82"/>
    </row>
    <row r="29" spans="1:19" ht="15.75">
      <c r="A29" s="82"/>
      <c r="B29" s="86"/>
      <c r="C29" s="82"/>
      <c r="D29" s="82" t="s">
        <v>122</v>
      </c>
      <c r="E29" s="82"/>
      <c r="F29" s="82"/>
      <c r="G29" s="82"/>
      <c r="H29" s="86"/>
      <c r="I29" s="82"/>
      <c r="J29" s="82"/>
      <c r="K29" s="82"/>
      <c r="L29" s="82"/>
      <c r="M29" s="82"/>
      <c r="N29" s="86"/>
      <c r="O29" s="82"/>
      <c r="P29" s="82"/>
      <c r="Q29" s="82"/>
      <c r="R29" s="82"/>
      <c r="S29" s="82"/>
    </row>
    <row r="30" spans="1:19" ht="15.75">
      <c r="A30" s="82"/>
      <c r="B30" s="86"/>
      <c r="C30" s="82"/>
      <c r="D30" s="82"/>
      <c r="E30" s="82"/>
      <c r="F30" s="82"/>
      <c r="G30" s="82"/>
      <c r="H30" s="86"/>
      <c r="I30" s="82"/>
      <c r="J30" s="82"/>
      <c r="K30" s="82"/>
      <c r="L30" s="82"/>
      <c r="M30" s="82"/>
      <c r="N30" s="86"/>
      <c r="O30" s="82"/>
      <c r="P30" s="82"/>
      <c r="Q30" s="82"/>
      <c r="R30" s="82"/>
      <c r="S30" s="82"/>
    </row>
    <row r="31" spans="1:19" ht="15.75">
      <c r="A31" s="82"/>
      <c r="B31" s="86" t="s">
        <v>123</v>
      </c>
      <c r="C31" s="82"/>
      <c r="D31" s="82"/>
      <c r="E31" s="82"/>
      <c r="F31" s="82"/>
      <c r="G31" s="82"/>
      <c r="H31" s="86" t="s">
        <v>124</v>
      </c>
      <c r="I31" s="82"/>
      <c r="J31" s="82" t="s">
        <v>120</v>
      </c>
      <c r="K31" s="82"/>
      <c r="L31" s="82"/>
      <c r="M31" s="82"/>
      <c r="N31" s="86" t="s">
        <v>123</v>
      </c>
      <c r="O31" s="82"/>
      <c r="P31" s="82" t="s">
        <v>120</v>
      </c>
      <c r="Q31" s="82"/>
      <c r="R31" s="82"/>
      <c r="S31" s="82"/>
    </row>
    <row r="32" spans="1:19" ht="15.75">
      <c r="A32" s="82"/>
      <c r="B32" s="86"/>
      <c r="C32" s="82"/>
      <c r="D32" s="82"/>
      <c r="E32" s="82"/>
      <c r="F32" s="82"/>
      <c r="G32" s="82"/>
      <c r="H32" s="86"/>
      <c r="I32" s="82"/>
      <c r="J32" s="82" t="s">
        <v>122</v>
      </c>
      <c r="K32" s="82"/>
      <c r="L32" s="82"/>
      <c r="M32" s="82"/>
      <c r="N32" s="86"/>
      <c r="O32" s="82"/>
      <c r="P32" s="82" t="s">
        <v>122</v>
      </c>
      <c r="Q32" s="82"/>
      <c r="R32" s="82"/>
      <c r="S32" s="82"/>
    </row>
    <row r="33" spans="1:19" ht="15.75">
      <c r="A33" s="82"/>
      <c r="B33" s="86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6"/>
      <c r="O33" s="82"/>
      <c r="P33" s="82"/>
      <c r="Q33" s="82"/>
      <c r="R33" s="82"/>
      <c r="S33" s="82"/>
    </row>
    <row r="34" spans="1:19" ht="15.75">
      <c r="A34" s="82"/>
      <c r="B34" s="86" t="s">
        <v>125</v>
      </c>
      <c r="C34" s="82"/>
      <c r="D34" s="82" t="s">
        <v>126</v>
      </c>
      <c r="E34" s="82"/>
      <c r="F34" s="82"/>
      <c r="G34" s="82"/>
      <c r="H34" s="86" t="s">
        <v>127</v>
      </c>
      <c r="I34" s="82"/>
      <c r="J34" s="82" t="s">
        <v>128</v>
      </c>
      <c r="K34" s="82"/>
      <c r="L34" s="82"/>
      <c r="M34" s="82"/>
      <c r="N34" s="86" t="s">
        <v>125</v>
      </c>
      <c r="O34" s="82"/>
      <c r="P34" s="82" t="s">
        <v>129</v>
      </c>
      <c r="Q34" s="82"/>
      <c r="R34" s="82"/>
      <c r="S34" s="82"/>
    </row>
    <row r="35" spans="1:19" ht="15.75">
      <c r="A35" s="82"/>
      <c r="B35" s="86"/>
      <c r="C35" s="82"/>
      <c r="D35" s="82" t="s">
        <v>129</v>
      </c>
      <c r="E35" s="82"/>
      <c r="F35" s="82"/>
      <c r="G35" s="82"/>
      <c r="H35" s="86"/>
      <c r="I35" s="82"/>
      <c r="J35" s="82" t="s">
        <v>129</v>
      </c>
      <c r="K35" s="82"/>
      <c r="L35" s="82"/>
      <c r="M35" s="82"/>
      <c r="N35" s="86"/>
      <c r="O35" s="82"/>
      <c r="P35" s="82"/>
      <c r="Q35" s="82"/>
      <c r="R35" s="82"/>
      <c r="S35" s="82"/>
    </row>
    <row r="36" spans="1:19" ht="15.75">
      <c r="A36" s="82"/>
      <c r="B36" s="86"/>
      <c r="C36" s="82"/>
      <c r="D36" s="82"/>
      <c r="E36" s="82"/>
      <c r="F36" s="82"/>
      <c r="G36" s="82"/>
      <c r="H36" s="86"/>
      <c r="I36" s="82"/>
      <c r="J36" s="82"/>
      <c r="K36" s="82"/>
      <c r="L36" s="82"/>
      <c r="M36" s="82"/>
      <c r="N36" s="86"/>
      <c r="O36" s="82"/>
      <c r="P36" s="82"/>
      <c r="Q36" s="82"/>
      <c r="R36" s="82"/>
      <c r="S36" s="82"/>
    </row>
    <row r="37" spans="1:19" ht="19.5" customHeight="1" thickBot="1">
      <c r="A37" s="90"/>
      <c r="B37" s="91"/>
      <c r="C37" s="90"/>
      <c r="D37" s="92" t="s">
        <v>130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1:19" ht="15.75">
      <c r="A38" s="82"/>
      <c r="B38" s="86" t="s">
        <v>131</v>
      </c>
      <c r="C38" s="82"/>
      <c r="D38" s="82"/>
      <c r="E38" s="82"/>
      <c r="F38" s="82"/>
      <c r="G38" s="82"/>
      <c r="H38" s="86" t="s">
        <v>132</v>
      </c>
      <c r="I38" s="82"/>
      <c r="J38" s="82" t="s">
        <v>133</v>
      </c>
      <c r="K38" s="82"/>
      <c r="L38" s="82"/>
      <c r="M38" s="82"/>
      <c r="N38" s="86" t="s">
        <v>131</v>
      </c>
      <c r="O38" s="82"/>
      <c r="P38" s="82" t="s">
        <v>128</v>
      </c>
      <c r="Q38" s="82"/>
      <c r="R38" s="82"/>
      <c r="S38" s="82"/>
    </row>
    <row r="39" spans="1:19" ht="15.75">
      <c r="A39" s="82"/>
      <c r="B39" s="86"/>
      <c r="C39" s="82"/>
      <c r="D39" s="82"/>
      <c r="E39" s="82"/>
      <c r="F39" s="82"/>
      <c r="G39" s="82"/>
      <c r="H39" s="86"/>
      <c r="I39" s="82"/>
      <c r="J39" s="82"/>
      <c r="K39" s="82"/>
      <c r="L39" s="82"/>
      <c r="M39" s="82"/>
      <c r="N39" s="86"/>
      <c r="O39" s="82"/>
      <c r="P39" s="82" t="s">
        <v>133</v>
      </c>
      <c r="Q39" s="82"/>
      <c r="R39" s="82"/>
      <c r="S39" s="82"/>
    </row>
    <row r="40" spans="1:19" ht="15.75">
      <c r="A40" s="82"/>
      <c r="B40" s="86"/>
      <c r="C40" s="82"/>
      <c r="D40" s="82"/>
      <c r="E40" s="82"/>
      <c r="F40" s="82"/>
      <c r="G40" s="82"/>
      <c r="H40" s="86"/>
      <c r="I40" s="82"/>
      <c r="J40" s="82"/>
      <c r="K40" s="82"/>
      <c r="L40" s="82"/>
      <c r="M40" s="82"/>
      <c r="N40" s="86"/>
      <c r="O40" s="82"/>
      <c r="P40" s="82"/>
      <c r="Q40" s="82"/>
      <c r="R40" s="82"/>
      <c r="S40" s="82"/>
    </row>
    <row r="41" spans="1:19" ht="15.75">
      <c r="A41" s="82"/>
      <c r="B41" s="86"/>
      <c r="C41" s="82"/>
      <c r="D41" s="82"/>
      <c r="E41" s="82"/>
      <c r="F41" s="82"/>
      <c r="G41" s="82"/>
      <c r="H41" s="86"/>
      <c r="I41" s="82"/>
      <c r="J41" s="82"/>
      <c r="K41" s="82"/>
      <c r="L41" s="82"/>
      <c r="M41" s="82"/>
      <c r="N41" s="86"/>
      <c r="O41" s="82"/>
      <c r="P41" s="82"/>
      <c r="Q41" s="82"/>
      <c r="R41" s="82"/>
      <c r="S41" s="82"/>
    </row>
    <row r="42" spans="1:19" ht="15.75">
      <c r="A42" s="82"/>
      <c r="B42" s="86" t="s">
        <v>134</v>
      </c>
      <c r="C42" s="82"/>
      <c r="D42" s="82" t="s">
        <v>133</v>
      </c>
      <c r="E42" s="82"/>
      <c r="F42" s="82"/>
      <c r="G42" s="82"/>
      <c r="H42" s="86" t="s">
        <v>135</v>
      </c>
      <c r="I42" s="82"/>
      <c r="J42" s="82"/>
      <c r="K42" s="82"/>
      <c r="L42" s="82"/>
      <c r="M42" s="82"/>
      <c r="N42" s="86" t="s">
        <v>134</v>
      </c>
      <c r="O42" s="82"/>
      <c r="P42" s="82"/>
      <c r="Q42" s="82"/>
      <c r="R42" s="82"/>
      <c r="S42" s="82"/>
    </row>
    <row r="43" spans="1:19" ht="15.75">
      <c r="A43" s="82"/>
      <c r="B43" s="86"/>
      <c r="C43" s="82"/>
      <c r="D43" s="82"/>
      <c r="E43" s="82"/>
      <c r="F43" s="82"/>
      <c r="G43" s="82"/>
      <c r="H43" s="86"/>
      <c r="I43" s="82"/>
      <c r="J43" s="82"/>
      <c r="K43" s="82"/>
      <c r="L43" s="82"/>
      <c r="M43" s="82"/>
      <c r="N43" s="86"/>
      <c r="O43" s="82"/>
      <c r="P43" s="82"/>
      <c r="Q43" s="82"/>
      <c r="R43" s="82"/>
      <c r="S43" s="82"/>
    </row>
    <row r="44" spans="1:19" ht="15.75">
      <c r="A44" s="82"/>
      <c r="B44" s="86"/>
      <c r="C44" s="82"/>
      <c r="D44" s="82"/>
      <c r="E44" s="82"/>
      <c r="F44" s="82"/>
      <c r="G44" s="82"/>
      <c r="H44" s="86"/>
      <c r="I44" s="82"/>
      <c r="J44" s="82"/>
      <c r="K44" s="82"/>
      <c r="L44" s="82"/>
      <c r="M44" s="82"/>
      <c r="N44" s="86"/>
      <c r="O44" s="82"/>
      <c r="P44" s="82"/>
      <c r="Q44" s="82"/>
      <c r="R44" s="82"/>
      <c r="S44" s="82"/>
    </row>
    <row r="45" spans="1:19" ht="15.75">
      <c r="A45" s="82"/>
      <c r="B45" s="86" t="s">
        <v>136</v>
      </c>
      <c r="C45" s="82"/>
      <c r="D45" s="82"/>
      <c r="E45" s="82"/>
      <c r="F45" s="82"/>
      <c r="G45" s="82"/>
      <c r="H45" s="86" t="s">
        <v>137</v>
      </c>
      <c r="I45" s="82"/>
      <c r="J45" s="82"/>
      <c r="K45" s="82"/>
      <c r="L45" s="82"/>
      <c r="M45" s="82"/>
      <c r="N45" s="86" t="s">
        <v>136</v>
      </c>
      <c r="O45" s="82"/>
      <c r="P45" s="82"/>
      <c r="Q45" s="82"/>
      <c r="R45" s="82"/>
      <c r="S45" s="82"/>
    </row>
    <row r="46" spans="1:19" ht="15.75">
      <c r="A46" s="82"/>
      <c r="B46" s="86"/>
      <c r="C46" s="82"/>
      <c r="D46" s="82"/>
      <c r="E46" s="82"/>
      <c r="F46" s="82"/>
      <c r="G46" s="82"/>
      <c r="H46" s="86"/>
      <c r="I46" s="82"/>
      <c r="J46" s="82"/>
      <c r="K46" s="82"/>
      <c r="L46" s="82"/>
      <c r="M46" s="82"/>
      <c r="N46" s="86"/>
      <c r="O46" s="82"/>
      <c r="P46" s="82"/>
      <c r="Q46" s="82"/>
      <c r="R46" s="82"/>
      <c r="S46" s="82"/>
    </row>
    <row r="47" spans="1:19" ht="18.75">
      <c r="A47" s="82"/>
      <c r="B47" s="86"/>
      <c r="C47" s="82"/>
      <c r="D47" s="82"/>
      <c r="E47" s="82"/>
      <c r="F47" s="82"/>
      <c r="G47" s="82"/>
      <c r="H47" s="86"/>
      <c r="I47" s="82"/>
      <c r="J47" s="82"/>
      <c r="K47" s="82"/>
      <c r="L47" s="82"/>
      <c r="M47" s="82"/>
      <c r="N47" s="86"/>
      <c r="O47" s="82"/>
      <c r="P47" s="82"/>
      <c r="Q47" s="82"/>
      <c r="R47" s="82"/>
      <c r="S47" s="93"/>
    </row>
    <row r="48" spans="1:19" ht="20.25">
      <c r="A48" s="82"/>
      <c r="B48" s="86"/>
      <c r="C48" s="82"/>
      <c r="D48" s="82"/>
      <c r="E48" s="82"/>
      <c r="F48" s="82"/>
      <c r="G48" s="82"/>
      <c r="H48" s="86"/>
      <c r="I48" s="82"/>
      <c r="J48" s="82"/>
      <c r="K48" s="82"/>
      <c r="L48" s="82"/>
      <c r="M48" s="82"/>
      <c r="N48" s="86"/>
      <c r="O48" s="82"/>
      <c r="P48" s="82"/>
      <c r="Q48" s="82"/>
      <c r="R48" s="94"/>
      <c r="S48" s="82"/>
    </row>
    <row r="49" spans="1:19" ht="20.25">
      <c r="A49" s="82"/>
      <c r="B49" s="86"/>
      <c r="C49" s="82"/>
      <c r="D49" s="82"/>
      <c r="E49" s="82"/>
      <c r="F49" s="82"/>
      <c r="G49" s="82"/>
      <c r="H49" s="86"/>
      <c r="I49" s="82"/>
      <c r="J49" s="82"/>
      <c r="K49" s="82"/>
      <c r="L49" s="82"/>
      <c r="M49" s="82"/>
      <c r="N49" s="86"/>
      <c r="O49" s="82"/>
      <c r="P49" s="82"/>
      <c r="Q49" s="82"/>
      <c r="R49" s="94"/>
      <c r="S49" s="82"/>
    </row>
    <row r="50" spans="1:19" ht="20.25">
      <c r="A50" s="82"/>
      <c r="B50" s="86"/>
      <c r="C50" s="82"/>
      <c r="D50" s="82"/>
      <c r="E50" s="82"/>
      <c r="F50" s="82"/>
      <c r="G50" s="82"/>
      <c r="H50" s="86"/>
      <c r="I50" s="82"/>
      <c r="J50" s="82"/>
      <c r="K50" s="82"/>
      <c r="L50" s="82"/>
      <c r="M50" s="82"/>
      <c r="N50" s="86"/>
      <c r="O50" s="82"/>
      <c r="P50" s="82"/>
      <c r="Q50" s="82"/>
      <c r="R50" s="94"/>
      <c r="S50" s="82"/>
    </row>
    <row r="51" spans="1:19" ht="20.25">
      <c r="A51" s="82"/>
      <c r="B51" s="86"/>
      <c r="C51" s="82"/>
      <c r="D51" s="82"/>
      <c r="E51" s="82"/>
      <c r="F51" s="82"/>
      <c r="G51" s="82"/>
      <c r="H51" s="86"/>
      <c r="I51" s="82"/>
      <c r="J51" s="82"/>
      <c r="K51" s="82"/>
      <c r="L51" s="82"/>
      <c r="M51" s="82"/>
      <c r="N51" s="86"/>
      <c r="O51" s="82"/>
      <c r="P51" s="82"/>
      <c r="Q51" s="82"/>
      <c r="R51" s="95"/>
      <c r="S51" s="82"/>
    </row>
    <row r="52" spans="1:19" ht="15.75">
      <c r="A52" s="82"/>
      <c r="B52" s="86"/>
      <c r="C52" s="82"/>
      <c r="D52" s="82"/>
      <c r="E52" s="82"/>
      <c r="F52" s="82"/>
      <c r="G52" s="82"/>
      <c r="H52" s="86"/>
      <c r="I52" s="82"/>
      <c r="J52" s="82"/>
      <c r="K52" s="82"/>
      <c r="L52" s="82"/>
      <c r="M52" s="82"/>
      <c r="N52" s="86"/>
      <c r="O52" s="82"/>
      <c r="P52" s="82"/>
      <c r="Q52" s="82"/>
      <c r="R52" s="82"/>
      <c r="S52" s="82"/>
    </row>
    <row r="53" spans="1:19" ht="15.75">
      <c r="A53" s="82"/>
      <c r="B53" s="86"/>
      <c r="C53" s="82"/>
      <c r="D53" s="82"/>
      <c r="E53" s="82"/>
      <c r="F53" s="82"/>
      <c r="G53" s="82"/>
      <c r="H53" s="86"/>
      <c r="I53" s="82"/>
      <c r="J53" s="82"/>
      <c r="K53" s="82"/>
      <c r="L53" s="82"/>
      <c r="M53" s="82"/>
      <c r="N53" s="86"/>
      <c r="O53" s="82"/>
      <c r="P53" s="82"/>
      <c r="Q53" s="82"/>
      <c r="R53" s="82"/>
      <c r="S53" s="82"/>
    </row>
  </sheetData>
  <mergeCells count="6">
    <mergeCell ref="A1:S1"/>
    <mergeCell ref="A2:S2"/>
    <mergeCell ref="A3:S3"/>
    <mergeCell ref="D9:F9"/>
    <mergeCell ref="J9:L9"/>
    <mergeCell ref="P9:R9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&amp;RExhibit No. ____ (MTT-2)</oddHeader>
    <oddFooter>&amp;RPage 1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0" zoomScaleNormal="70" workbookViewId="0" topLeftCell="A1">
      <selection activeCell="M13" sqref="M13"/>
    </sheetView>
  </sheetViews>
  <sheetFormatPr defaultColWidth="9.140625" defaultRowHeight="12.75"/>
  <cols>
    <col min="1" max="1" width="24.421875" style="82" customWidth="1"/>
    <col min="2" max="2" width="16.8515625" style="82" bestFit="1" customWidth="1"/>
    <col min="3" max="3" width="3.7109375" style="82" customWidth="1"/>
    <col min="4" max="4" width="11.7109375" style="82" customWidth="1"/>
    <col min="5" max="5" width="3.7109375" style="82" customWidth="1"/>
    <col min="6" max="6" width="11.7109375" style="82" customWidth="1"/>
    <col min="7" max="7" width="3.7109375" style="82" customWidth="1"/>
    <col min="8" max="8" width="11.7109375" style="82" customWidth="1"/>
    <col min="9" max="16384" width="9.140625" style="82" customWidth="1"/>
  </cols>
  <sheetData>
    <row r="1" spans="1:8" ht="15.75">
      <c r="A1" s="135" t="s">
        <v>41</v>
      </c>
      <c r="B1" s="135"/>
      <c r="C1" s="135"/>
      <c r="D1" s="135"/>
      <c r="E1" s="135"/>
      <c r="F1" s="135"/>
      <c r="G1" s="135"/>
      <c r="H1" s="135"/>
    </row>
    <row r="2" spans="1:8" ht="15.75">
      <c r="A2" s="136" t="s">
        <v>138</v>
      </c>
      <c r="B2" s="136"/>
      <c r="C2" s="136"/>
      <c r="D2" s="136"/>
      <c r="E2" s="136"/>
      <c r="F2" s="136"/>
      <c r="G2" s="136"/>
      <c r="H2" s="136"/>
    </row>
    <row r="3" spans="1:8" ht="15.75">
      <c r="A3" s="138"/>
      <c r="B3" s="138"/>
      <c r="C3" s="138"/>
      <c r="D3" s="138"/>
      <c r="E3" s="138"/>
      <c r="F3" s="138"/>
      <c r="G3" s="138"/>
      <c r="H3" s="138"/>
    </row>
    <row r="4" spans="1:9" ht="15.75">
      <c r="A4" s="96"/>
      <c r="B4" s="96"/>
      <c r="C4" s="96"/>
      <c r="D4" s="96"/>
      <c r="E4" s="96"/>
      <c r="F4" s="96"/>
      <c r="G4" s="96"/>
      <c r="H4" s="96"/>
      <c r="I4" s="97"/>
    </row>
    <row r="5" ht="15.75">
      <c r="A5" s="98" t="s">
        <v>139</v>
      </c>
    </row>
    <row r="6" spans="1:7" ht="15.75">
      <c r="A6" s="89" t="s">
        <v>42</v>
      </c>
      <c r="B6" s="99"/>
      <c r="C6" s="99"/>
      <c r="D6" s="100" t="s">
        <v>43</v>
      </c>
      <c r="E6" s="99"/>
      <c r="F6" s="101"/>
      <c r="G6" s="99"/>
    </row>
    <row r="7" spans="1:8" ht="15.75">
      <c r="A7" s="102">
        <v>38716</v>
      </c>
      <c r="B7" s="103" t="s">
        <v>14</v>
      </c>
      <c r="C7" s="99"/>
      <c r="D7" s="104" t="s">
        <v>44</v>
      </c>
      <c r="E7" s="99"/>
      <c r="F7" s="105" t="s">
        <v>18</v>
      </c>
      <c r="G7" s="99"/>
      <c r="H7" s="106" t="s">
        <v>45</v>
      </c>
    </row>
    <row r="8" spans="1:8" ht="15.75">
      <c r="A8" s="107"/>
      <c r="B8" s="108"/>
      <c r="D8" s="108"/>
      <c r="F8" s="108"/>
      <c r="H8" s="108"/>
    </row>
    <row r="9" spans="1:8" ht="15.75">
      <c r="A9" s="82" t="s">
        <v>140</v>
      </c>
      <c r="B9" s="109">
        <f>+'Exhibit MTT-2 Page 3'!U46</f>
        <v>1266901042</v>
      </c>
      <c r="C9" s="110"/>
      <c r="D9" s="111">
        <f>+B9/B13</f>
        <v>0.524889697294823</v>
      </c>
      <c r="E9" s="110"/>
      <c r="F9" s="112">
        <f>+'Exhibit MTT-2 Page 3'!S46</f>
        <v>0.06566443829405796</v>
      </c>
      <c r="G9" s="110"/>
      <c r="H9" s="112">
        <f>D9*F9</f>
        <v>0.03446658713920267</v>
      </c>
    </row>
    <row r="10" spans="2:7" ht="16.5" thickBot="1">
      <c r="B10" s="110"/>
      <c r="C10" s="110"/>
      <c r="D10" s="111"/>
      <c r="E10" s="110"/>
      <c r="F10" s="113"/>
      <c r="G10" s="110"/>
    </row>
    <row r="11" spans="1:8" ht="16.5" thickBot="1">
      <c r="A11" s="82" t="s">
        <v>47</v>
      </c>
      <c r="B11" s="114">
        <v>1146750909.12298</v>
      </c>
      <c r="C11" s="110"/>
      <c r="D11" s="115">
        <f>+B11/B13</f>
        <v>0.47511030270517696</v>
      </c>
      <c r="E11" s="116"/>
      <c r="F11" s="117">
        <v>0.11</v>
      </c>
      <c r="G11" s="118" t="s">
        <v>141</v>
      </c>
      <c r="H11" s="119">
        <f>D11*F11</f>
        <v>0.052262133297569464</v>
      </c>
    </row>
    <row r="12" spans="2:7" ht="16.5" thickBot="1">
      <c r="B12" s="110"/>
      <c r="C12" s="110"/>
      <c r="D12" s="111"/>
      <c r="E12" s="110"/>
      <c r="F12" s="116"/>
      <c r="G12" s="110"/>
    </row>
    <row r="13" spans="1:8" ht="16.5" thickBot="1">
      <c r="A13" s="120" t="s">
        <v>46</v>
      </c>
      <c r="B13" s="121">
        <f>SUM(B9:B11)</f>
        <v>2413651951.12298</v>
      </c>
      <c r="C13" s="110"/>
      <c r="D13" s="122">
        <f>SUM(D9:D11)</f>
        <v>1</v>
      </c>
      <c r="E13" s="110"/>
      <c r="F13" s="116"/>
      <c r="G13" s="110"/>
      <c r="H13" s="123">
        <f>SUM(H9:H11)+0.004%</f>
        <v>0.08676872043677213</v>
      </c>
    </row>
    <row r="14" ht="16.5" thickTop="1"/>
    <row r="16" ht="15.75">
      <c r="A16" s="98" t="s">
        <v>142</v>
      </c>
    </row>
    <row r="17" spans="1:7" ht="15.75">
      <c r="A17" s="89" t="s">
        <v>42</v>
      </c>
      <c r="B17" s="99"/>
      <c r="C17" s="99"/>
      <c r="D17" s="100" t="s">
        <v>43</v>
      </c>
      <c r="E17" s="99"/>
      <c r="F17" s="101"/>
      <c r="G17" s="99"/>
    </row>
    <row r="18" spans="1:8" ht="15.75">
      <c r="A18" s="102">
        <v>38259</v>
      </c>
      <c r="B18" s="103" t="s">
        <v>14</v>
      </c>
      <c r="C18" s="99"/>
      <c r="D18" s="104" t="s">
        <v>44</v>
      </c>
      <c r="E18" s="99"/>
      <c r="F18" s="105" t="s">
        <v>18</v>
      </c>
      <c r="G18" s="99"/>
      <c r="H18" s="106" t="s">
        <v>45</v>
      </c>
    </row>
    <row r="19" spans="1:8" ht="15.75">
      <c r="A19" s="107"/>
      <c r="B19" s="108"/>
      <c r="D19" s="108"/>
      <c r="F19" s="108"/>
      <c r="H19" s="108"/>
    </row>
    <row r="20" spans="1:8" ht="15.75">
      <c r="A20" s="82" t="s">
        <v>140</v>
      </c>
      <c r="B20" s="109">
        <v>1041414167</v>
      </c>
      <c r="C20" s="110"/>
      <c r="D20" s="111">
        <f>+B20/B24</f>
        <v>0.5090393781689269</v>
      </c>
      <c r="E20" s="110"/>
      <c r="F20" s="112">
        <v>0.0651</v>
      </c>
      <c r="G20" s="110"/>
      <c r="H20" s="112">
        <f>D20*F20</f>
        <v>0.033138463518797144</v>
      </c>
    </row>
    <row r="21" spans="2:7" ht="16.5" thickBot="1">
      <c r="B21" s="33"/>
      <c r="C21" s="110"/>
      <c r="D21" s="111"/>
      <c r="E21" s="110"/>
      <c r="F21" s="113"/>
      <c r="G21" s="110"/>
    </row>
    <row r="22" spans="1:8" ht="16.5" thickBot="1">
      <c r="A22" s="82" t="s">
        <v>47</v>
      </c>
      <c r="B22" s="114">
        <v>1004427887</v>
      </c>
      <c r="C22" s="110"/>
      <c r="D22" s="115">
        <f>+B22/B24</f>
        <v>0.4909606218310732</v>
      </c>
      <c r="E22" s="116"/>
      <c r="F22" s="117">
        <v>0.102</v>
      </c>
      <c r="G22" s="118"/>
      <c r="H22" s="119">
        <f>D22*F22</f>
        <v>0.05007798342676946</v>
      </c>
    </row>
    <row r="23" spans="2:7" ht="16.5" thickBot="1">
      <c r="B23" s="110"/>
      <c r="C23" s="110"/>
      <c r="D23" s="111"/>
      <c r="E23" s="110"/>
      <c r="F23" s="116"/>
      <c r="G23" s="110"/>
    </row>
    <row r="24" spans="1:8" ht="16.5" thickBot="1">
      <c r="A24" s="120" t="s">
        <v>46</v>
      </c>
      <c r="B24" s="121">
        <f>SUM(B20:B22)</f>
        <v>2045842054</v>
      </c>
      <c r="C24" s="110"/>
      <c r="D24" s="122">
        <f>SUM(D20:D22)</f>
        <v>1</v>
      </c>
      <c r="E24" s="110"/>
      <c r="F24" s="116"/>
      <c r="G24" s="110"/>
      <c r="H24" s="123">
        <f>SUM(H20:H22)</f>
        <v>0.0832164469455666</v>
      </c>
    </row>
    <row r="25" ht="16.5" thickTop="1"/>
    <row r="29" ht="15.75">
      <c r="A29" s="82" t="s">
        <v>143</v>
      </c>
    </row>
    <row r="30" ht="15.75">
      <c r="A30" s="82" t="s">
        <v>144</v>
      </c>
    </row>
    <row r="31" ht="15.75">
      <c r="A31" s="82" t="s">
        <v>145</v>
      </c>
    </row>
    <row r="32" ht="15.75">
      <c r="A32" s="82" t="s">
        <v>146</v>
      </c>
    </row>
    <row r="34" ht="15.75">
      <c r="B34" s="79"/>
    </row>
    <row r="36" ht="15.75">
      <c r="A36" s="82" t="s">
        <v>147</v>
      </c>
    </row>
    <row r="37" ht="15.75">
      <c r="A37" s="82" t="s">
        <v>149</v>
      </c>
    </row>
    <row r="38" ht="15.75">
      <c r="A38" s="82" t="s">
        <v>148</v>
      </c>
    </row>
    <row r="39" ht="15.75">
      <c r="A39" s="97" t="s">
        <v>155</v>
      </c>
    </row>
    <row r="40" ht="15.75">
      <c r="A40" s="97" t="s">
        <v>156</v>
      </c>
    </row>
    <row r="41" ht="15.75">
      <c r="A41" s="97" t="s">
        <v>157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r:id="rId1"/>
  <headerFooter alignWithMargins="0">
    <oddHeader>&amp;RExhibit No. ____ (MTT-2)</oddHeader>
    <oddFooter>&amp;RPage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 topLeftCell="A1">
      <selection activeCell="M36" sqref="M36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12.8515625" style="1" bestFit="1" customWidth="1"/>
    <col min="4" max="4" width="1.7109375" style="1" customWidth="1"/>
    <col min="5" max="5" width="12.421875" style="3" customWidth="1"/>
    <col min="6" max="6" width="1.7109375" style="1" customWidth="1"/>
    <col min="7" max="7" width="11.7109375" style="2" customWidth="1"/>
    <col min="8" max="8" width="1.7109375" style="1" customWidth="1"/>
    <col min="9" max="9" width="10.421875" style="3" customWidth="1"/>
    <col min="10" max="10" width="1.7109375" style="1" customWidth="1"/>
    <col min="11" max="11" width="10.7109375" style="3" customWidth="1"/>
    <col min="12" max="12" width="1.7109375" style="1" customWidth="1"/>
    <col min="13" max="13" width="9.8515625" style="3" customWidth="1"/>
    <col min="14" max="14" width="1.7109375" style="1" customWidth="1"/>
    <col min="15" max="15" width="9.7109375" style="3" customWidth="1"/>
    <col min="16" max="16" width="1.7109375" style="1" customWidth="1"/>
    <col min="17" max="17" width="11.7109375" style="3" customWidth="1"/>
    <col min="18" max="18" width="1.7109375" style="1" customWidth="1"/>
    <col min="19" max="19" width="8.7109375" style="4" customWidth="1"/>
    <col min="20" max="20" width="1.7109375" style="1" customWidth="1"/>
    <col min="21" max="21" width="11.7109375" style="3" customWidth="1"/>
    <col min="22" max="22" width="1.7109375" style="1" customWidth="1"/>
    <col min="23" max="23" width="10.7109375" style="3" customWidth="1"/>
    <col min="24" max="24" width="1.7109375" style="1" customWidth="1"/>
    <col min="25" max="25" width="4.8515625" style="1" bestFit="1" customWidth="1"/>
    <col min="26" max="16384" width="11.421875" style="1" customWidth="1"/>
  </cols>
  <sheetData>
    <row r="1" spans="1:25" ht="11.25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11.25">
      <c r="A2" s="140" t="s">
        <v>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12.75" customHeight="1">
      <c r="A3" s="141">
        <f>+'Exhibit MTT-2 Page 2'!A7</f>
        <v>38716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1:15" ht="12.75">
      <c r="K4" s="1"/>
      <c r="M4" s="5"/>
      <c r="N4" s="5"/>
      <c r="O4" s="6"/>
    </row>
    <row r="5" spans="5:23" s="7" customFormat="1" ht="11.25">
      <c r="E5" s="5"/>
      <c r="G5" s="8"/>
      <c r="I5" s="5"/>
      <c r="K5" s="5"/>
      <c r="M5" s="5"/>
      <c r="O5" s="5"/>
      <c r="Q5" s="5"/>
      <c r="S5" s="9"/>
      <c r="U5" s="5" t="s">
        <v>0</v>
      </c>
      <c r="W5" s="5"/>
    </row>
    <row r="6" spans="1:25" s="7" customFormat="1" ht="11.25">
      <c r="A6" s="7" t="s">
        <v>1</v>
      </c>
      <c r="E6" s="5" t="s">
        <v>2</v>
      </c>
      <c r="G6" s="8" t="s">
        <v>3</v>
      </c>
      <c r="I6" s="5" t="s">
        <v>4</v>
      </c>
      <c r="K6" s="5" t="s">
        <v>0</v>
      </c>
      <c r="M6" s="5" t="s">
        <v>5</v>
      </c>
      <c r="O6" s="7" t="s">
        <v>6</v>
      </c>
      <c r="Q6" s="5" t="s">
        <v>7</v>
      </c>
      <c r="S6" s="9" t="s">
        <v>8</v>
      </c>
      <c r="U6" s="5" t="s">
        <v>9</v>
      </c>
      <c r="W6" s="5" t="s">
        <v>10</v>
      </c>
      <c r="Y6" s="7" t="s">
        <v>1</v>
      </c>
    </row>
    <row r="7" spans="1:25" s="7" customFormat="1" ht="11.25">
      <c r="A7" s="10" t="s">
        <v>11</v>
      </c>
      <c r="C7" s="10" t="s">
        <v>81</v>
      </c>
      <c r="E7" s="11" t="s">
        <v>12</v>
      </c>
      <c r="F7" s="10"/>
      <c r="G7" s="12" t="s">
        <v>13</v>
      </c>
      <c r="I7" s="11" t="s">
        <v>13</v>
      </c>
      <c r="K7" s="11" t="s">
        <v>14</v>
      </c>
      <c r="M7" s="11" t="s">
        <v>15</v>
      </c>
      <c r="O7" s="10" t="s">
        <v>16</v>
      </c>
      <c r="Q7" s="11" t="s">
        <v>17</v>
      </c>
      <c r="S7" s="13" t="s">
        <v>3</v>
      </c>
      <c r="U7" s="14">
        <f>+'Exhibit MTT-2 Page 2'!A7</f>
        <v>38716</v>
      </c>
      <c r="W7" s="11" t="s">
        <v>18</v>
      </c>
      <c r="Y7" s="10" t="s">
        <v>11</v>
      </c>
    </row>
    <row r="8" spans="3:23" ht="11.25">
      <c r="C8" s="7" t="s">
        <v>30</v>
      </c>
      <c r="D8" s="7"/>
      <c r="E8" s="5" t="s">
        <v>31</v>
      </c>
      <c r="F8" s="7"/>
      <c r="G8" s="32" t="s">
        <v>40</v>
      </c>
      <c r="H8" s="7"/>
      <c r="I8" s="5" t="s">
        <v>32</v>
      </c>
      <c r="J8" s="7"/>
      <c r="K8" s="5" t="s">
        <v>33</v>
      </c>
      <c r="L8" s="7"/>
      <c r="M8" s="5" t="s">
        <v>34</v>
      </c>
      <c r="N8" s="7"/>
      <c r="O8" s="5" t="s">
        <v>35</v>
      </c>
      <c r="P8" s="7"/>
      <c r="Q8" s="5" t="s">
        <v>36</v>
      </c>
      <c r="R8" s="7"/>
      <c r="S8" s="9" t="s">
        <v>37</v>
      </c>
      <c r="T8" s="7"/>
      <c r="U8" s="5" t="s">
        <v>38</v>
      </c>
      <c r="V8" s="7"/>
      <c r="W8" s="5" t="s">
        <v>39</v>
      </c>
    </row>
    <row r="9" spans="1:25" ht="11.25">
      <c r="A9" s="1">
        <v>1</v>
      </c>
      <c r="B9" s="15"/>
      <c r="C9" s="1" t="s">
        <v>21</v>
      </c>
      <c r="D9" s="15"/>
      <c r="E9" s="1" t="s">
        <v>19</v>
      </c>
      <c r="F9" s="3"/>
      <c r="G9" s="18">
        <v>38959</v>
      </c>
      <c r="H9" s="16"/>
      <c r="I9" s="18">
        <v>32628</v>
      </c>
      <c r="M9" s="3">
        <v>373693.39</v>
      </c>
      <c r="W9" s="3">
        <f>+M9/207*12</f>
        <v>21663.384927536234</v>
      </c>
      <c r="Y9" s="1">
        <f aca="true" t="shared" si="0" ref="Y9:Y46">+A9</f>
        <v>1</v>
      </c>
    </row>
    <row r="10" spans="1:25" ht="11.25">
      <c r="A10" s="1">
        <f aca="true" t="shared" si="1" ref="A10:A46">+A9+1</f>
        <v>2</v>
      </c>
      <c r="C10" s="1" t="s">
        <v>21</v>
      </c>
      <c r="E10" s="19">
        <v>0.0667</v>
      </c>
      <c r="G10" s="18">
        <v>38909</v>
      </c>
      <c r="H10" s="16"/>
      <c r="I10" s="18">
        <v>32700</v>
      </c>
      <c r="K10" s="3">
        <v>5000000</v>
      </c>
      <c r="M10" s="3">
        <v>35081</v>
      </c>
      <c r="O10" s="3">
        <v>690464</v>
      </c>
      <c r="Q10" s="3">
        <f aca="true" t="shared" si="2" ref="Q10:Q16">K10-M10-O10</f>
        <v>4274455</v>
      </c>
      <c r="S10" s="20">
        <f>YIELD(I10,G10,E10,Q10/K10*100,100,2,0)</f>
        <v>0.08275293617036461</v>
      </c>
      <c r="U10" s="21">
        <f aca="true" t="shared" si="3" ref="U10:U16">K10</f>
        <v>5000000</v>
      </c>
      <c r="V10" s="22"/>
      <c r="W10" s="21">
        <f aca="true" t="shared" si="4" ref="W10:W16">S10*U10</f>
        <v>413764.68085182307</v>
      </c>
      <c r="Y10" s="1">
        <f t="shared" si="0"/>
        <v>2</v>
      </c>
    </row>
    <row r="11" spans="1:25" ht="11.25">
      <c r="A11" s="1">
        <f t="shared" si="1"/>
        <v>3</v>
      </c>
      <c r="C11" s="1" t="s">
        <v>21</v>
      </c>
      <c r="E11" s="19">
        <v>0.0718</v>
      </c>
      <c r="G11" s="18">
        <v>43687</v>
      </c>
      <c r="H11" s="16"/>
      <c r="I11" s="18">
        <v>32731</v>
      </c>
      <c r="K11" s="3">
        <v>7000000</v>
      </c>
      <c r="M11" s="3">
        <v>54364</v>
      </c>
      <c r="Q11" s="3">
        <f t="shared" si="2"/>
        <v>6945636</v>
      </c>
      <c r="S11" s="20">
        <f>YIELD(I11,G11,E11,Q11/K11*100,100,2,0)</f>
        <v>0.07243776820381893</v>
      </c>
      <c r="U11" s="21">
        <f t="shared" si="3"/>
        <v>7000000</v>
      </c>
      <c r="V11" s="22"/>
      <c r="W11" s="21">
        <f t="shared" si="4"/>
        <v>507064.3774267325</v>
      </c>
      <c r="Y11" s="1">
        <f t="shared" si="0"/>
        <v>3</v>
      </c>
    </row>
    <row r="12" spans="1:25" ht="11.25">
      <c r="A12" s="1">
        <f t="shared" si="1"/>
        <v>4</v>
      </c>
      <c r="C12" s="1" t="s">
        <v>21</v>
      </c>
      <c r="E12" s="19">
        <v>0.0737</v>
      </c>
      <c r="G12" s="18">
        <v>39577</v>
      </c>
      <c r="H12" s="16"/>
      <c r="I12" s="18">
        <v>32637</v>
      </c>
      <c r="K12" s="3">
        <v>7000000</v>
      </c>
      <c r="M12" s="3">
        <v>49114</v>
      </c>
      <c r="O12" s="3">
        <v>1227883</v>
      </c>
      <c r="Q12" s="3">
        <f t="shared" si="2"/>
        <v>5723003</v>
      </c>
      <c r="S12" s="20">
        <f>YIELD(I12,G12,E12,Q12/K12*100,100,2,0)</f>
        <v>0.09455378987454878</v>
      </c>
      <c r="U12" s="3">
        <f t="shared" si="3"/>
        <v>7000000</v>
      </c>
      <c r="W12" s="21">
        <f t="shared" si="4"/>
        <v>661876.5291218414</v>
      </c>
      <c r="Y12" s="1">
        <f t="shared" si="0"/>
        <v>4</v>
      </c>
    </row>
    <row r="13" spans="1:25" ht="11.25">
      <c r="A13" s="1">
        <f t="shared" si="1"/>
        <v>5</v>
      </c>
      <c r="C13" s="1" t="s">
        <v>21</v>
      </c>
      <c r="E13" s="19">
        <v>0.0739</v>
      </c>
      <c r="G13" s="18">
        <v>41769</v>
      </c>
      <c r="H13" s="16"/>
      <c r="I13" s="18">
        <v>32638</v>
      </c>
      <c r="K13" s="3">
        <v>7000000</v>
      </c>
      <c r="M13" s="3">
        <v>54364</v>
      </c>
      <c r="O13" s="3">
        <v>1227883</v>
      </c>
      <c r="Q13" s="3">
        <f t="shared" si="2"/>
        <v>5717753</v>
      </c>
      <c r="S13" s="20">
        <f>YIELD(I13,G13,E13,Q13/K13*100,100,2,0)</f>
        <v>0.09287348511941709</v>
      </c>
      <c r="U13" s="3">
        <f t="shared" si="3"/>
        <v>7000000</v>
      </c>
      <c r="W13" s="21">
        <f t="shared" si="4"/>
        <v>650114.3958359197</v>
      </c>
      <c r="Y13" s="1">
        <f t="shared" si="0"/>
        <v>5</v>
      </c>
    </row>
    <row r="14" spans="1:25" ht="11.25">
      <c r="A14" s="1">
        <f t="shared" si="1"/>
        <v>6</v>
      </c>
      <c r="C14" s="1" t="s">
        <v>21</v>
      </c>
      <c r="E14" s="19">
        <v>0.0745</v>
      </c>
      <c r="G14" s="18">
        <v>41800</v>
      </c>
      <c r="H14" s="16"/>
      <c r="I14" s="18">
        <v>32667</v>
      </c>
      <c r="K14" s="3">
        <v>15500000</v>
      </c>
      <c r="M14" s="3">
        <v>170597</v>
      </c>
      <c r="O14" s="3">
        <v>2140440</v>
      </c>
      <c r="Q14" s="3">
        <f t="shared" si="2"/>
        <v>13188963</v>
      </c>
      <c r="S14" s="20">
        <f>YIELD(I14,G14,E14,Q14/K14*100,100,2,0)</f>
        <v>0.08953000595880421</v>
      </c>
      <c r="U14" s="21">
        <f t="shared" si="3"/>
        <v>15500000</v>
      </c>
      <c r="V14" s="22"/>
      <c r="W14" s="21">
        <f t="shared" si="4"/>
        <v>1387715.0923614653</v>
      </c>
      <c r="Y14" s="1">
        <f t="shared" si="0"/>
        <v>6</v>
      </c>
    </row>
    <row r="15" spans="1:25" ht="11.25">
      <c r="A15" s="1">
        <f t="shared" si="1"/>
        <v>7</v>
      </c>
      <c r="C15" s="1" t="s">
        <v>21</v>
      </c>
      <c r="E15" s="19">
        <v>0.0753</v>
      </c>
      <c r="G15" s="18">
        <v>43589</v>
      </c>
      <c r="H15" s="16"/>
      <c r="I15" s="18">
        <v>32633</v>
      </c>
      <c r="K15" s="3">
        <v>5500000</v>
      </c>
      <c r="M15" s="3">
        <v>42712</v>
      </c>
      <c r="O15" s="3">
        <v>963011</v>
      </c>
      <c r="Q15" s="3">
        <f t="shared" si="2"/>
        <v>4494277</v>
      </c>
      <c r="S15" s="20">
        <f>YIELD(I15,G15,E15,Q15/K15*100,100,2,0)</f>
        <v>0.0935898701964726</v>
      </c>
      <c r="U15" s="3">
        <f t="shared" si="3"/>
        <v>5500000</v>
      </c>
      <c r="W15" s="21">
        <f t="shared" si="4"/>
        <v>514744.28608059924</v>
      </c>
      <c r="Y15" s="1">
        <f t="shared" si="0"/>
        <v>7</v>
      </c>
    </row>
    <row r="16" spans="1:25" ht="11.25">
      <c r="A16" s="1">
        <f t="shared" si="1"/>
        <v>8</v>
      </c>
      <c r="C16" s="1" t="s">
        <v>21</v>
      </c>
      <c r="E16" s="19">
        <v>0.0754</v>
      </c>
      <c r="G16" s="18">
        <v>43589</v>
      </c>
      <c r="H16" s="16"/>
      <c r="I16" s="18">
        <v>32634</v>
      </c>
      <c r="K16" s="3">
        <v>1000000</v>
      </c>
      <c r="M16" s="3">
        <v>7766</v>
      </c>
      <c r="O16" s="3">
        <v>175412</v>
      </c>
      <c r="Q16" s="3">
        <f t="shared" si="2"/>
        <v>816822</v>
      </c>
      <c r="S16" s="20">
        <f>YIELD(I16,G16,E16,Q16/K16*100,100,2,0)</f>
        <v>0.09374670059945206</v>
      </c>
      <c r="U16" s="3">
        <f t="shared" si="3"/>
        <v>1000000</v>
      </c>
      <c r="W16" s="21">
        <f t="shared" si="4"/>
        <v>93746.70059945206</v>
      </c>
      <c r="Y16" s="1">
        <f t="shared" si="0"/>
        <v>8</v>
      </c>
    </row>
    <row r="17" spans="1:25" ht="11.25">
      <c r="A17" s="1">
        <f t="shared" si="1"/>
        <v>9</v>
      </c>
      <c r="B17" s="15"/>
      <c r="C17" s="1" t="s">
        <v>22</v>
      </c>
      <c r="D17" s="15"/>
      <c r="E17" s="19">
        <v>0.069</v>
      </c>
      <c r="G17" s="18">
        <v>38898</v>
      </c>
      <c r="H17" s="16"/>
      <c r="I17" s="18">
        <v>33397</v>
      </c>
      <c r="K17" s="3">
        <v>5000000</v>
      </c>
      <c r="M17" s="3">
        <v>37944</v>
      </c>
      <c r="Q17" s="3">
        <f aca="true" t="shared" si="5" ref="Q17:Q24">K17-M17-O17</f>
        <v>4962056</v>
      </c>
      <c r="S17" s="20">
        <f>YIELD(I17,G17,E17,Q17/K17*100,100,2,0)</f>
        <v>0.06981544901176809</v>
      </c>
      <c r="U17" s="21">
        <f aca="true" t="shared" si="6" ref="U17:U24">K17</f>
        <v>5000000</v>
      </c>
      <c r="V17" s="22"/>
      <c r="W17" s="21">
        <f aca="true" t="shared" si="7" ref="W17:W24">S17*U17</f>
        <v>349077.24505884043</v>
      </c>
      <c r="Y17" s="1">
        <f t="shared" si="0"/>
        <v>9</v>
      </c>
    </row>
    <row r="18" spans="1:25" ht="12.75" customHeight="1">
      <c r="A18" s="1">
        <f t="shared" si="1"/>
        <v>10</v>
      </c>
      <c r="B18" s="15"/>
      <c r="C18" s="1" t="s">
        <v>23</v>
      </c>
      <c r="D18" s="15"/>
      <c r="E18" s="19">
        <v>0.057</v>
      </c>
      <c r="G18" s="18">
        <v>48760</v>
      </c>
      <c r="H18" s="16"/>
      <c r="I18" s="18">
        <v>37604</v>
      </c>
      <c r="K18" s="3">
        <v>150000000</v>
      </c>
      <c r="M18" s="3">
        <f>8662304+858</f>
        <v>8663162</v>
      </c>
      <c r="Q18" s="3">
        <f t="shared" si="5"/>
        <v>141336838</v>
      </c>
      <c r="S18" s="20">
        <f>YIELD(I18,G18,E18,Q18/K18*100,100,2,0)</f>
        <v>0.06119826471077947</v>
      </c>
      <c r="U18" s="21">
        <f t="shared" si="6"/>
        <v>150000000</v>
      </c>
      <c r="V18" s="22"/>
      <c r="W18" s="21">
        <f t="shared" si="7"/>
        <v>9179739.706616921</v>
      </c>
      <c r="Y18" s="1">
        <f t="shared" si="0"/>
        <v>10</v>
      </c>
    </row>
    <row r="19" spans="1:25" ht="11.25">
      <c r="A19" s="1">
        <f t="shared" si="1"/>
        <v>11</v>
      </c>
      <c r="C19" s="1" t="s">
        <v>24</v>
      </c>
      <c r="E19" s="19">
        <v>0.06125</v>
      </c>
      <c r="G19" s="18">
        <v>40056</v>
      </c>
      <c r="I19" s="18">
        <v>36410</v>
      </c>
      <c r="K19" s="3">
        <v>45000000</v>
      </c>
      <c r="M19" s="3">
        <v>1055140</v>
      </c>
      <c r="O19" s="3">
        <v>815824</v>
      </c>
      <c r="Q19" s="21">
        <f t="shared" si="5"/>
        <v>43129036</v>
      </c>
      <c r="R19" s="22"/>
      <c r="S19" s="26">
        <f>YIELD(I19,G19,E19,Q19/K19*100,100,2,0)</f>
        <v>0.06702773671327918</v>
      </c>
      <c r="T19" s="22"/>
      <c r="U19" s="21">
        <f t="shared" si="6"/>
        <v>45000000</v>
      </c>
      <c r="V19" s="22"/>
      <c r="W19" s="21">
        <f t="shared" si="7"/>
        <v>3016248.152097563</v>
      </c>
      <c r="Y19" s="1">
        <f t="shared" si="0"/>
        <v>11</v>
      </c>
    </row>
    <row r="20" spans="1:25" ht="11.25">
      <c r="A20" s="1">
        <f t="shared" si="1"/>
        <v>12</v>
      </c>
      <c r="C20" s="1" t="s">
        <v>25</v>
      </c>
      <c r="E20" s="19">
        <v>0.0545</v>
      </c>
      <c r="G20" s="18">
        <v>42338</v>
      </c>
      <c r="I20" s="18">
        <v>36847</v>
      </c>
      <c r="K20" s="3">
        <v>90000000</v>
      </c>
      <c r="M20" s="3">
        <v>1432081.18</v>
      </c>
      <c r="O20" s="3">
        <v>7244894.5</v>
      </c>
      <c r="Q20" s="21">
        <f t="shared" si="5"/>
        <v>81323024.32</v>
      </c>
      <c r="R20" s="22"/>
      <c r="S20" s="26">
        <f>YIELD(I20,G20,E20,Q20/K20*100,100,2,0)</f>
        <v>0.06461575041360794</v>
      </c>
      <c r="T20" s="22"/>
      <c r="U20" s="21">
        <f t="shared" si="6"/>
        <v>90000000</v>
      </c>
      <c r="V20" s="22"/>
      <c r="W20" s="21">
        <f t="shared" si="7"/>
        <v>5815417.537224715</v>
      </c>
      <c r="Y20" s="1">
        <f t="shared" si="0"/>
        <v>12</v>
      </c>
    </row>
    <row r="21" spans="1:25" ht="11.25">
      <c r="A21" s="1">
        <f t="shared" si="1"/>
        <v>13</v>
      </c>
      <c r="C21" s="1" t="s">
        <v>26</v>
      </c>
      <c r="E21" s="19">
        <v>0.0625</v>
      </c>
      <c r="G21" s="18">
        <v>48182</v>
      </c>
      <c r="I21" s="18">
        <v>37211</v>
      </c>
      <c r="K21" s="3">
        <v>150000000</v>
      </c>
      <c r="M21" s="3">
        <f>-2264565+55902.1+71646.57</f>
        <v>-2137016.33</v>
      </c>
      <c r="O21" s="3">
        <f>1700371</f>
        <v>1700371</v>
      </c>
      <c r="Q21" s="21">
        <f t="shared" si="5"/>
        <v>150436645.33</v>
      </c>
      <c r="R21" s="22"/>
      <c r="S21" s="26">
        <f>YIELD(I21,G21,E21,Q21/K21*100,100,2,0)</f>
        <v>0.06228200953786091</v>
      </c>
      <c r="T21" s="22"/>
      <c r="U21" s="21">
        <f t="shared" si="6"/>
        <v>150000000</v>
      </c>
      <c r="V21" s="22"/>
      <c r="W21" s="21">
        <f t="shared" si="7"/>
        <v>9342301.430679137</v>
      </c>
      <c r="Y21" s="1">
        <f t="shared" si="0"/>
        <v>13</v>
      </c>
    </row>
    <row r="22" spans="1:25" ht="11.25">
      <c r="A22" s="1">
        <f t="shared" si="1"/>
        <v>14</v>
      </c>
      <c r="C22" s="1" t="s">
        <v>96</v>
      </c>
      <c r="E22" s="19">
        <v>0.0595</v>
      </c>
      <c r="G22" s="18">
        <v>41790</v>
      </c>
      <c r="I22" s="18">
        <v>38078</v>
      </c>
      <c r="K22" s="3">
        <v>250000000</v>
      </c>
      <c r="M22" s="3">
        <v>19475000</v>
      </c>
      <c r="Q22" s="21">
        <f>K22-M22-O22</f>
        <v>230525000</v>
      </c>
      <c r="R22" s="22"/>
      <c r="S22" s="26">
        <f>YIELD(I22,G22,E22,Q22/K22*100,100,2,0)</f>
        <v>0.07034057728593465</v>
      </c>
      <c r="T22" s="22"/>
      <c r="U22" s="21">
        <f>K22</f>
        <v>250000000</v>
      </c>
      <c r="V22" s="22"/>
      <c r="W22" s="21">
        <f>S22*U22</f>
        <v>17585144.321483664</v>
      </c>
      <c r="Y22" s="1">
        <f>+A22</f>
        <v>14</v>
      </c>
    </row>
    <row r="23" spans="1:25" ht="11.25">
      <c r="A23" s="1">
        <f t="shared" si="1"/>
        <v>15</v>
      </c>
      <c r="C23" s="1" t="s">
        <v>154</v>
      </c>
      <c r="E23" s="19">
        <v>0.0725</v>
      </c>
      <c r="G23" s="18">
        <v>40162</v>
      </c>
      <c r="I23" s="18">
        <v>38336</v>
      </c>
      <c r="K23" s="3">
        <v>30000000</v>
      </c>
      <c r="M23" s="3">
        <v>400000</v>
      </c>
      <c r="Q23" s="21">
        <f>K23-M23-O23</f>
        <v>29600000</v>
      </c>
      <c r="S23" s="26">
        <f>YIELD(I23,G23,E23,Q23/K23*100,100,2,0)</f>
        <v>0.07575309640829772</v>
      </c>
      <c r="U23" s="21">
        <f>K23</f>
        <v>30000000</v>
      </c>
      <c r="V23" s="22"/>
      <c r="W23" s="21">
        <f>S23*U23</f>
        <v>2272592.892248932</v>
      </c>
      <c r="Y23" s="1">
        <f>+A23</f>
        <v>15</v>
      </c>
    </row>
    <row r="24" spans="1:25" ht="11.25">
      <c r="A24" s="1">
        <f t="shared" si="1"/>
        <v>16</v>
      </c>
      <c r="C24" s="1" t="s">
        <v>27</v>
      </c>
      <c r="E24" s="19">
        <v>0.06</v>
      </c>
      <c r="G24" s="18">
        <v>43799</v>
      </c>
      <c r="H24" s="16"/>
      <c r="I24" s="18">
        <v>32717</v>
      </c>
      <c r="K24" s="3">
        <v>4100000</v>
      </c>
      <c r="M24" s="3">
        <v>135855</v>
      </c>
      <c r="O24" s="3">
        <v>146393</v>
      </c>
      <c r="Q24" s="21">
        <f t="shared" si="5"/>
        <v>3817752</v>
      </c>
      <c r="R24" s="22"/>
      <c r="S24" s="26">
        <f>YIELD(I24,G24,E24,Q24/K24*100,100,2,0)</f>
        <v>0.0652295915209271</v>
      </c>
      <c r="T24" s="22"/>
      <c r="U24" s="21">
        <f t="shared" si="6"/>
        <v>4100000</v>
      </c>
      <c r="V24" s="22"/>
      <c r="W24" s="21">
        <f t="shared" si="7"/>
        <v>267441.3252358011</v>
      </c>
      <c r="Y24" s="1">
        <f t="shared" si="0"/>
        <v>16</v>
      </c>
    </row>
    <row r="25" spans="1:25" ht="11.25">
      <c r="A25" s="1">
        <f t="shared" si="1"/>
        <v>17</v>
      </c>
      <c r="B25" s="65"/>
      <c r="C25" s="125" t="s">
        <v>151</v>
      </c>
      <c r="D25" s="125"/>
      <c r="E25" s="129">
        <v>0.0675</v>
      </c>
      <c r="F25" s="125"/>
      <c r="G25" s="127">
        <v>47026</v>
      </c>
      <c r="H25" s="124"/>
      <c r="I25" s="127">
        <v>38441</v>
      </c>
      <c r="J25" s="125"/>
      <c r="K25" s="128">
        <v>66700000</v>
      </c>
      <c r="L25" s="125"/>
      <c r="M25" s="128">
        <f>+K25*0.02</f>
        <v>1334000</v>
      </c>
      <c r="N25" s="125"/>
      <c r="O25" s="128">
        <f>4751984+2714150</f>
        <v>7466134</v>
      </c>
      <c r="P25" s="125"/>
      <c r="Q25" s="130">
        <f>K25-M25-O25</f>
        <v>57899866</v>
      </c>
      <c r="R25" s="131"/>
      <c r="S25" s="132">
        <f>YIELD(I25,G25,E25,Q25/K25*100,100,2,0)</f>
        <v>0.08004428072360126</v>
      </c>
      <c r="T25" s="131"/>
      <c r="U25" s="130">
        <f>K25</f>
        <v>66700000</v>
      </c>
      <c r="V25" s="131"/>
      <c r="W25" s="130">
        <f>S25*U25+100050</f>
        <v>5439003.524264204</v>
      </c>
      <c r="Y25" s="1">
        <f t="shared" si="0"/>
        <v>17</v>
      </c>
    </row>
    <row r="26" spans="1:25" ht="11.25">
      <c r="A26" s="1">
        <f t="shared" si="1"/>
        <v>18</v>
      </c>
      <c r="C26" s="1" t="s">
        <v>28</v>
      </c>
      <c r="E26" s="1" t="s">
        <v>19</v>
      </c>
      <c r="F26" s="15"/>
      <c r="G26" s="18">
        <v>39978</v>
      </c>
      <c r="H26" s="16"/>
      <c r="I26" s="18">
        <v>34499</v>
      </c>
      <c r="M26" s="3">
        <v>650179</v>
      </c>
      <c r="W26" s="3">
        <f>+M26/180*12</f>
        <v>43345.26666666666</v>
      </c>
      <c r="Y26" s="1">
        <f t="shared" si="0"/>
        <v>18</v>
      </c>
    </row>
    <row r="27" spans="1:25" ht="11.25">
      <c r="A27" s="1">
        <f t="shared" si="1"/>
        <v>19</v>
      </c>
      <c r="C27" s="1" t="s">
        <v>28</v>
      </c>
      <c r="E27" s="19">
        <v>0.0637</v>
      </c>
      <c r="G27" s="18">
        <v>45461</v>
      </c>
      <c r="H27" s="16"/>
      <c r="I27" s="18">
        <v>34503</v>
      </c>
      <c r="K27" s="3">
        <v>25000000</v>
      </c>
      <c r="M27" s="3">
        <v>158304</v>
      </c>
      <c r="O27" s="3">
        <v>188649</v>
      </c>
      <c r="Q27" s="3">
        <f>K27-M27-O27</f>
        <v>24653047</v>
      </c>
      <c r="S27" s="20">
        <f>YIELD(I27,G27,E27,Q27/K27*100,100,2,0)</f>
        <v>0.06475453916342476</v>
      </c>
      <c r="U27" s="21">
        <f>K27</f>
        <v>25000000</v>
      </c>
      <c r="V27" s="22"/>
      <c r="W27" s="21">
        <f>S27*U27</f>
        <v>1618863.479085619</v>
      </c>
      <c r="Y27" s="1">
        <f t="shared" si="0"/>
        <v>19</v>
      </c>
    </row>
    <row r="28" spans="1:25" ht="11.25">
      <c r="A28" s="1">
        <f t="shared" si="1"/>
        <v>20</v>
      </c>
      <c r="C28" s="1" t="s">
        <v>28</v>
      </c>
      <c r="E28" s="19">
        <v>0.0802</v>
      </c>
      <c r="F28" s="23"/>
      <c r="G28" s="18">
        <v>39015</v>
      </c>
      <c r="H28" s="16"/>
      <c r="I28" s="18">
        <v>34997</v>
      </c>
      <c r="K28" s="3">
        <v>25000000</v>
      </c>
      <c r="M28" s="3">
        <v>161287</v>
      </c>
      <c r="O28" s="3">
        <v>707527</v>
      </c>
      <c r="Q28" s="21">
        <f>K28-M28-O28</f>
        <v>24131186</v>
      </c>
      <c r="R28" s="22"/>
      <c r="S28" s="26">
        <f>YIELD(I28,G28,E28,Q28/K28*100,100,2,0)</f>
        <v>0.08512828028709342</v>
      </c>
      <c r="T28" s="22"/>
      <c r="U28" s="21">
        <f>K28</f>
        <v>25000000</v>
      </c>
      <c r="V28" s="22"/>
      <c r="W28" s="21">
        <f>S28*U28</f>
        <v>2128207.0071773357</v>
      </c>
      <c r="Y28" s="1">
        <f t="shared" si="0"/>
        <v>20</v>
      </c>
    </row>
    <row r="29" spans="1:25" ht="11.25">
      <c r="A29" s="1">
        <f t="shared" si="1"/>
        <v>21</v>
      </c>
      <c r="C29" s="125" t="s">
        <v>151</v>
      </c>
      <c r="D29" s="125"/>
      <c r="E29" s="129">
        <v>0.0825</v>
      </c>
      <c r="F29" s="125"/>
      <c r="G29" s="127">
        <v>42276</v>
      </c>
      <c r="H29" s="125"/>
      <c r="I29" s="127">
        <v>38624</v>
      </c>
      <c r="J29" s="125"/>
      <c r="K29" s="128">
        <v>150000000</v>
      </c>
      <c r="L29" s="125"/>
      <c r="M29" s="128">
        <f>+K29*0.01</f>
        <v>1500000</v>
      </c>
      <c r="N29" s="125"/>
      <c r="O29" s="128"/>
      <c r="P29" s="125"/>
      <c r="Q29" s="130">
        <f>K29-M29-O29</f>
        <v>148500000</v>
      </c>
      <c r="R29" s="125"/>
      <c r="S29" s="132">
        <f>YIELD(I29,G29,E29,Q29/K29*100,100,2,0)</f>
        <v>0.08399780060505828</v>
      </c>
      <c r="T29" s="125"/>
      <c r="U29" s="130">
        <f>K29</f>
        <v>150000000</v>
      </c>
      <c r="V29" s="131"/>
      <c r="W29" s="130">
        <f>S29*U29</f>
        <v>12599670.09075874</v>
      </c>
      <c r="Y29" s="1">
        <f t="shared" si="0"/>
        <v>21</v>
      </c>
    </row>
    <row r="30" spans="1:25" ht="11.25">
      <c r="A30" s="1">
        <f t="shared" si="1"/>
        <v>22</v>
      </c>
      <c r="E30" s="24"/>
      <c r="G30" s="18"/>
      <c r="I30" s="18"/>
      <c r="S30" s="20"/>
      <c r="U30" s="21"/>
      <c r="V30" s="22"/>
      <c r="W30" s="21"/>
      <c r="Y30" s="1">
        <f t="shared" si="0"/>
        <v>22</v>
      </c>
    </row>
    <row r="31" spans="1:25" ht="11.25">
      <c r="A31" s="1">
        <f t="shared" si="1"/>
        <v>23</v>
      </c>
      <c r="E31" s="24"/>
      <c r="G31" s="18"/>
      <c r="I31" s="18"/>
      <c r="Q31" s="21"/>
      <c r="S31" s="20">
        <f>W31/U31</f>
        <v>0.07114722894282201</v>
      </c>
      <c r="U31" s="25">
        <f>SUM(U9:U29)</f>
        <v>1038800000</v>
      </c>
      <c r="W31" s="25">
        <f>SUM(W9:W29)</f>
        <v>73907741.4258035</v>
      </c>
      <c r="Y31" s="1">
        <f t="shared" si="0"/>
        <v>23</v>
      </c>
    </row>
    <row r="32" spans="1:25" ht="11.25">
      <c r="A32" s="1">
        <f t="shared" si="1"/>
        <v>24</v>
      </c>
      <c r="E32" s="24"/>
      <c r="G32" s="18"/>
      <c r="I32" s="18"/>
      <c r="S32" s="20"/>
      <c r="U32" s="21"/>
      <c r="V32" s="22"/>
      <c r="W32" s="21"/>
      <c r="Y32" s="1">
        <f t="shared" si="0"/>
        <v>24</v>
      </c>
    </row>
    <row r="33" spans="1:27" ht="11.25">
      <c r="A33" s="1">
        <f t="shared" si="1"/>
        <v>25</v>
      </c>
      <c r="C33" s="1" t="s">
        <v>29</v>
      </c>
      <c r="D33" s="65">
        <v>1</v>
      </c>
      <c r="E33" s="19">
        <v>0.0885</v>
      </c>
      <c r="G33" s="23">
        <v>45447</v>
      </c>
      <c r="H33" s="16"/>
      <c r="I33" s="18">
        <v>35938</v>
      </c>
      <c r="K33" s="3">
        <v>10000000</v>
      </c>
      <c r="O33" s="3">
        <v>-2228153</v>
      </c>
      <c r="Q33" s="21">
        <f>K33-M33-O33</f>
        <v>12228153</v>
      </c>
      <c r="R33" s="22"/>
      <c r="S33" s="26">
        <f>YIELD(I33,G33,E33,Q33/K33*100,100,2,0)</f>
        <v>0.06980983104449977</v>
      </c>
      <c r="T33" s="22"/>
      <c r="U33" s="21"/>
      <c r="V33" s="65">
        <v>2</v>
      </c>
      <c r="W33" s="21">
        <v>-188085</v>
      </c>
      <c r="Y33" s="1">
        <f t="shared" si="0"/>
        <v>25</v>
      </c>
      <c r="Z33" s="24"/>
      <c r="AA33" s="3"/>
    </row>
    <row r="34" spans="1:27" ht="11.25">
      <c r="A34" s="1">
        <f t="shared" si="1"/>
        <v>26</v>
      </c>
      <c r="C34" s="1" t="s">
        <v>29</v>
      </c>
      <c r="D34" s="65">
        <v>1</v>
      </c>
      <c r="E34" s="19">
        <v>0.0883</v>
      </c>
      <c r="G34" s="23">
        <v>45447</v>
      </c>
      <c r="H34" s="16"/>
      <c r="I34" s="18">
        <v>36252</v>
      </c>
      <c r="K34" s="3">
        <v>10000000</v>
      </c>
      <c r="O34" s="3">
        <f>-407637.07-43132.32</f>
        <v>-450769.39</v>
      </c>
      <c r="Q34" s="21">
        <f>K34-M34-O34</f>
        <v>10450769.39</v>
      </c>
      <c r="R34" s="22"/>
      <c r="S34" s="26">
        <f>YIELD(I34,G34,E34,Q34/K34*100,100,2,0)</f>
        <v>0.08394963985135559</v>
      </c>
      <c r="T34" s="22"/>
      <c r="U34" s="21"/>
      <c r="V34" s="65">
        <v>2</v>
      </c>
      <c r="W34" s="21">
        <v>-43660</v>
      </c>
      <c r="Y34" s="1">
        <f t="shared" si="0"/>
        <v>26</v>
      </c>
      <c r="Z34" s="24"/>
      <c r="AA34" s="3"/>
    </row>
    <row r="35" spans="1:28" ht="11.25">
      <c r="A35" s="1">
        <f t="shared" si="1"/>
        <v>27</v>
      </c>
      <c r="C35" s="1" t="s">
        <v>29</v>
      </c>
      <c r="D35" s="65">
        <v>1</v>
      </c>
      <c r="E35" s="19">
        <v>0.0883</v>
      </c>
      <c r="G35" s="23">
        <v>43462</v>
      </c>
      <c r="H35" s="16"/>
      <c r="I35" s="18">
        <v>36229</v>
      </c>
      <c r="K35" s="3">
        <v>5000000</v>
      </c>
      <c r="O35" s="3">
        <v>92363</v>
      </c>
      <c r="Q35" s="21">
        <f>K35-M35-O35</f>
        <v>4907637</v>
      </c>
      <c r="R35" s="22"/>
      <c r="S35" s="26">
        <f>YIELD(I35,G35,E35,Q35/K35*100,100,2,0)</f>
        <v>0.09029381597952778</v>
      </c>
      <c r="T35" s="22"/>
      <c r="U35" s="21"/>
      <c r="V35" s="65">
        <v>2</v>
      </c>
      <c r="W35" s="21">
        <v>10340</v>
      </c>
      <c r="Y35" s="1">
        <f t="shared" si="0"/>
        <v>27</v>
      </c>
      <c r="Z35" s="24"/>
      <c r="AA35" s="3"/>
      <c r="AB35" s="126"/>
    </row>
    <row r="36" spans="1:27" ht="11.25">
      <c r="A36" s="1">
        <f t="shared" si="1"/>
        <v>28</v>
      </c>
      <c r="C36" s="1" t="s">
        <v>29</v>
      </c>
      <c r="D36" s="65">
        <v>1</v>
      </c>
      <c r="E36" s="19">
        <v>0.0837</v>
      </c>
      <c r="G36" s="23">
        <v>39700</v>
      </c>
      <c r="H36" s="16"/>
      <c r="I36" s="18">
        <v>36347</v>
      </c>
      <c r="K36" s="3">
        <v>12000000</v>
      </c>
      <c r="O36" s="3">
        <v>357674</v>
      </c>
      <c r="Q36" s="21">
        <f>K36-M36-O36</f>
        <v>11642326</v>
      </c>
      <c r="R36" s="22"/>
      <c r="S36" s="26">
        <f>YIELD(I36,G36,E36,Q36/K36*100,100,2,0)</f>
        <v>0.08847798848988485</v>
      </c>
      <c r="T36" s="22"/>
      <c r="U36" s="21"/>
      <c r="V36" s="65">
        <v>2</v>
      </c>
      <c r="W36" s="25">
        <v>64258</v>
      </c>
      <c r="Y36" s="1">
        <f t="shared" si="0"/>
        <v>28</v>
      </c>
      <c r="Z36" s="24"/>
      <c r="AA36" s="3"/>
    </row>
    <row r="37" spans="1:25" ht="11.25">
      <c r="A37" s="1">
        <f t="shared" si="1"/>
        <v>29</v>
      </c>
      <c r="E37" s="24"/>
      <c r="F37" s="15"/>
      <c r="W37" s="3">
        <f>SUM(W33:W36)</f>
        <v>-157147</v>
      </c>
      <c r="Y37" s="1">
        <f t="shared" si="0"/>
        <v>29</v>
      </c>
    </row>
    <row r="38" spans="1:25" ht="11.25">
      <c r="A38" s="1">
        <f t="shared" si="1"/>
        <v>30</v>
      </c>
      <c r="E38" s="24"/>
      <c r="F38" s="15"/>
      <c r="Y38" s="1">
        <f t="shared" si="0"/>
        <v>30</v>
      </c>
    </row>
    <row r="39" spans="1:25" ht="11.25">
      <c r="A39" s="1">
        <f t="shared" si="1"/>
        <v>31</v>
      </c>
      <c r="D39" s="71">
        <v>3</v>
      </c>
      <c r="E39" s="3" t="s">
        <v>93</v>
      </c>
      <c r="F39" s="72"/>
      <c r="G39" s="73"/>
      <c r="H39" s="72"/>
      <c r="I39" s="69"/>
      <c r="J39" s="72"/>
      <c r="K39" s="3">
        <f>+'Exhibit MTT-2 Page 4'!P7</f>
        <v>40000000</v>
      </c>
      <c r="L39" s="72"/>
      <c r="M39" s="3">
        <f>+'Exhibit MTT-2 Page 4'!G31</f>
        <v>1296086</v>
      </c>
      <c r="N39" s="3"/>
      <c r="O39" s="3">
        <f>+'Exhibit MTT-2 Page 4'!H31</f>
        <v>-2500000</v>
      </c>
      <c r="P39" s="72"/>
      <c r="Q39" s="3">
        <f>+K39</f>
        <v>40000000</v>
      </c>
      <c r="R39" s="72"/>
      <c r="S39" s="26">
        <f>+'Exhibit MTT-2 Page 4'!J31</f>
        <v>0.02844533694983985</v>
      </c>
      <c r="T39" s="70"/>
      <c r="U39" s="3">
        <f>+Q39</f>
        <v>40000000</v>
      </c>
      <c r="V39" s="74"/>
      <c r="W39" s="3">
        <f>+U39*S39</f>
        <v>1137813.477993594</v>
      </c>
      <c r="Y39" s="1">
        <f t="shared" si="0"/>
        <v>31</v>
      </c>
    </row>
    <row r="40" spans="1:25" ht="11.25">
      <c r="A40" s="1">
        <f t="shared" si="1"/>
        <v>32</v>
      </c>
      <c r="D40" s="71">
        <v>3</v>
      </c>
      <c r="E40" s="3" t="s">
        <v>93</v>
      </c>
      <c r="F40" s="72"/>
      <c r="G40" s="73"/>
      <c r="H40" s="72"/>
      <c r="I40" s="69"/>
      <c r="J40" s="72"/>
      <c r="K40" s="3">
        <f>+'Exhibit MTT-2 Page 4'!P8</f>
        <v>17000000</v>
      </c>
      <c r="L40" s="72"/>
      <c r="M40" s="3">
        <f>+'Exhibit MTT-2 Page 4'!G32</f>
        <v>255000</v>
      </c>
      <c r="N40" s="3"/>
      <c r="O40" s="3">
        <f>+'Exhibit MTT-2 Page 4'!H32</f>
        <v>2332632</v>
      </c>
      <c r="P40" s="72"/>
      <c r="Q40" s="3">
        <f>+K40</f>
        <v>17000000</v>
      </c>
      <c r="R40" s="72"/>
      <c r="S40" s="26">
        <f>+'Exhibit MTT-2 Page 4'!J32</f>
        <v>0.02927630184864734</v>
      </c>
      <c r="T40" s="70"/>
      <c r="U40" s="3">
        <f>+Q40</f>
        <v>17000000</v>
      </c>
      <c r="V40" s="134"/>
      <c r="W40" s="3">
        <f>+U40*S40</f>
        <v>497697.1314270048</v>
      </c>
      <c r="Y40" s="1">
        <f t="shared" si="0"/>
        <v>32</v>
      </c>
    </row>
    <row r="41" spans="1:25" ht="11.25">
      <c r="A41" s="1">
        <f t="shared" si="1"/>
        <v>33</v>
      </c>
      <c r="E41" s="24"/>
      <c r="F41" s="15"/>
      <c r="Y41" s="1">
        <f t="shared" si="0"/>
        <v>33</v>
      </c>
    </row>
    <row r="42" spans="1:25" ht="12.75" customHeight="1">
      <c r="A42" s="1">
        <f t="shared" si="1"/>
        <v>34</v>
      </c>
      <c r="H42" s="6"/>
      <c r="J42" s="1" t="s">
        <v>20</v>
      </c>
      <c r="Q42" s="25">
        <f>SUM(Q9:Q28)+Q39</f>
        <v>872975359.65</v>
      </c>
      <c r="S42" s="20">
        <f>W42/U42</f>
        <v>0.06879549647310101</v>
      </c>
      <c r="U42" s="25">
        <f>+U39+U31+U40</f>
        <v>1095800000</v>
      </c>
      <c r="W42" s="25">
        <f>+W39+W31+W40+W37</f>
        <v>75386105.0352241</v>
      </c>
      <c r="Y42" s="1">
        <f t="shared" si="0"/>
        <v>34</v>
      </c>
    </row>
    <row r="43" spans="1:25" ht="12.75" customHeight="1">
      <c r="A43" s="1">
        <f t="shared" si="1"/>
        <v>35</v>
      </c>
      <c r="F43" s="15"/>
      <c r="S43" s="20"/>
      <c r="Y43" s="1">
        <f t="shared" si="0"/>
        <v>35</v>
      </c>
    </row>
    <row r="44" spans="1:27" ht="11.25">
      <c r="A44" s="1">
        <f t="shared" si="1"/>
        <v>36</v>
      </c>
      <c r="D44" s="71">
        <v>4</v>
      </c>
      <c r="E44" s="3" t="s">
        <v>75</v>
      </c>
      <c r="K44" s="3">
        <f>+'Exhibit MTT-2 Page 5'!P24</f>
        <v>171101042</v>
      </c>
      <c r="Q44" s="21"/>
      <c r="S44" s="20">
        <f>+'Exhibit MTT-2 Page 5'!P25</f>
        <v>0.04561188038739491</v>
      </c>
      <c r="U44" s="3">
        <f>+K44</f>
        <v>171101042</v>
      </c>
      <c r="W44" s="3">
        <f>+U44*S44</f>
        <v>7804240.261862633</v>
      </c>
      <c r="Y44" s="1">
        <f t="shared" si="0"/>
        <v>36</v>
      </c>
      <c r="AA44" s="27"/>
    </row>
    <row r="45" spans="1:25" ht="11.25">
      <c r="A45" s="1">
        <f t="shared" si="1"/>
        <v>37</v>
      </c>
      <c r="H45" s="15"/>
      <c r="J45" s="28"/>
      <c r="S45" s="20"/>
      <c r="U45" s="21"/>
      <c r="W45" s="21"/>
      <c r="Y45" s="1">
        <f t="shared" si="0"/>
        <v>37</v>
      </c>
    </row>
    <row r="46" spans="1:25" ht="12" thickBot="1">
      <c r="A46" s="1">
        <f t="shared" si="1"/>
        <v>38</v>
      </c>
      <c r="F46" s="67"/>
      <c r="G46" s="67"/>
      <c r="I46" s="69" t="s">
        <v>150</v>
      </c>
      <c r="Q46" s="31" t="s">
        <v>18</v>
      </c>
      <c r="S46" s="29">
        <f>W46/U46</f>
        <v>0.06566443829405796</v>
      </c>
      <c r="U46" s="30">
        <f>SUM(U42:U44)</f>
        <v>1266901042</v>
      </c>
      <c r="W46" s="30">
        <f>SUM(W42:W44)</f>
        <v>83190345.29708673</v>
      </c>
      <c r="Y46" s="1">
        <f t="shared" si="0"/>
        <v>38</v>
      </c>
    </row>
    <row r="47" ht="4.5" customHeight="1" thickTop="1">
      <c r="Q47" s="17"/>
    </row>
    <row r="48" spans="2:23" ht="11.25">
      <c r="B48" s="65"/>
      <c r="Q48" s="17"/>
      <c r="U48" s="21"/>
      <c r="W48" s="21"/>
    </row>
    <row r="49" spans="2:23" ht="11.25">
      <c r="B49" s="65">
        <v>1</v>
      </c>
      <c r="C49" s="1" t="s">
        <v>76</v>
      </c>
      <c r="D49" s="15"/>
      <c r="E49" s="1"/>
      <c r="G49" s="1"/>
      <c r="Q49" s="17"/>
      <c r="S49" s="29"/>
      <c r="U49" s="21"/>
      <c r="W49" s="21"/>
    </row>
    <row r="50" spans="2:23" ht="11.25">
      <c r="B50" s="65">
        <v>2</v>
      </c>
      <c r="C50" s="1" t="s">
        <v>80</v>
      </c>
      <c r="D50" s="15"/>
      <c r="I50" s="1"/>
      <c r="U50" s="21"/>
      <c r="W50" s="21"/>
    </row>
    <row r="51" spans="2:23" ht="11.25">
      <c r="B51" s="65">
        <v>3</v>
      </c>
      <c r="C51" s="1" t="s">
        <v>94</v>
      </c>
      <c r="D51" s="15"/>
      <c r="K51" s="1"/>
      <c r="M51" s="1"/>
      <c r="O51" s="1"/>
      <c r="Q51" s="1"/>
      <c r="U51" s="1"/>
      <c r="W51" s="1"/>
    </row>
    <row r="52" spans="2:4" ht="11.25">
      <c r="B52" s="65">
        <v>4</v>
      </c>
      <c r="C52" s="1" t="s">
        <v>95</v>
      </c>
      <c r="D52" s="15"/>
    </row>
    <row r="53" spans="3:4" ht="11.25">
      <c r="C53" s="15"/>
      <c r="D53" s="15"/>
    </row>
    <row r="54" ht="11.25">
      <c r="C54" s="15"/>
    </row>
  </sheetData>
  <mergeCells count="3">
    <mergeCell ref="A1:Y1"/>
    <mergeCell ref="A2:Y2"/>
    <mergeCell ref="A3:Y3"/>
  </mergeCells>
  <conditionalFormatting sqref="G9:G22 G24:G28">
    <cfRule type="expression" priority="1" dxfId="0" stopIfTrue="1">
      <formula>(G9&lt;#REF!)</formula>
    </cfRule>
  </conditionalFormatting>
  <printOptions/>
  <pageMargins left="0.48" right="0.48" top="0.5" bottom="0.5" header="0.5" footer="0.5"/>
  <pageSetup fitToHeight="1" fitToWidth="1" horizontalDpi="600" verticalDpi="600" orientation="landscape" scale="85" r:id="rId1"/>
  <headerFooter alignWithMargins="0">
    <oddHeader>&amp;RExhibit No. ____ (MTT-2)</oddHeader>
    <oddFooter>&amp;R&amp;8Page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B20" sqref="B20"/>
    </sheetView>
  </sheetViews>
  <sheetFormatPr defaultColWidth="9.140625" defaultRowHeight="12.75"/>
  <cols>
    <col min="1" max="1" width="4.7109375" style="56" customWidth="1"/>
    <col min="2" max="2" width="24.28125" style="56" customWidth="1"/>
    <col min="3" max="3" width="10.140625" style="56" bestFit="1" customWidth="1"/>
    <col min="4" max="12" width="10.7109375" style="56" bestFit="1" customWidth="1"/>
    <col min="13" max="13" width="10.7109375" style="56" customWidth="1"/>
    <col min="14" max="14" width="10.7109375" style="56" bestFit="1" customWidth="1"/>
    <col min="15" max="15" width="10.7109375" style="56" customWidth="1"/>
    <col min="16" max="16" width="12.7109375" style="56" customWidth="1"/>
    <col min="17" max="16384" width="9.140625" style="56" customWidth="1"/>
  </cols>
  <sheetData>
    <row r="1" spans="1:16" s="1" customFormat="1" ht="11.25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s="1" customFormat="1" ht="11.25">
      <c r="A2" s="140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s="1" customFormat="1" ht="12.75" customHeight="1">
      <c r="A3" s="141">
        <f>+'Exhibit MTT-2 Page 2'!A7</f>
        <v>38716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2.75">
      <c r="A4" s="34"/>
      <c r="B4" s="35"/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2.75">
      <c r="A5" s="38">
        <v>1</v>
      </c>
      <c r="B5" s="34"/>
      <c r="C5" s="39">
        <f>+'Exhibit MTT-2 Page 5'!C5</f>
        <v>38351</v>
      </c>
      <c r="D5" s="39">
        <f>EOMONTH(C5,1)</f>
        <v>38382</v>
      </c>
      <c r="E5" s="39">
        <f>EOMONTH(D5,1)</f>
        <v>38410</v>
      </c>
      <c r="F5" s="39">
        <f>EOMONTH(E5,1)</f>
        <v>38441</v>
      </c>
      <c r="G5" s="39">
        <f>EOMONTH(F5,1)</f>
        <v>38471</v>
      </c>
      <c r="H5" s="39">
        <f>EOMONTH(G5,1)</f>
        <v>38502</v>
      </c>
      <c r="I5" s="39">
        <f>EOMONTH(H5,1)</f>
        <v>38532</v>
      </c>
      <c r="J5" s="39">
        <f>EOMONTH(I5,1)</f>
        <v>38563</v>
      </c>
      <c r="K5" s="39">
        <f>EOMONTH(J5,1)</f>
        <v>38594</v>
      </c>
      <c r="L5" s="39">
        <f>EOMONTH(K5,1)</f>
        <v>38624</v>
      </c>
      <c r="M5" s="39">
        <f>EOMONTH(L5,1)</f>
        <v>38655</v>
      </c>
      <c r="N5" s="39">
        <f>EOMONTH(M5,1)</f>
        <v>38685</v>
      </c>
      <c r="O5" s="39">
        <f>EOMONTH(N5,1)</f>
        <v>38716</v>
      </c>
      <c r="P5" s="40" t="s">
        <v>64</v>
      </c>
    </row>
    <row r="6" spans="1:16" ht="12.75">
      <c r="A6" s="38">
        <f>+A5+1</f>
        <v>2</v>
      </c>
      <c r="B6" s="7" t="s">
        <v>30</v>
      </c>
      <c r="C6" s="5" t="s">
        <v>31</v>
      </c>
      <c r="D6" s="32" t="s">
        <v>40</v>
      </c>
      <c r="E6" s="5" t="s">
        <v>32</v>
      </c>
      <c r="F6" s="5" t="s">
        <v>33</v>
      </c>
      <c r="G6" s="5" t="s">
        <v>34</v>
      </c>
      <c r="H6" s="5" t="s">
        <v>35</v>
      </c>
      <c r="I6" s="5" t="s">
        <v>36</v>
      </c>
      <c r="J6" s="9" t="s">
        <v>37</v>
      </c>
      <c r="K6" s="5" t="s">
        <v>38</v>
      </c>
      <c r="L6" s="5" t="s">
        <v>39</v>
      </c>
      <c r="M6" s="59" t="s">
        <v>84</v>
      </c>
      <c r="N6" s="59" t="s">
        <v>85</v>
      </c>
      <c r="O6" s="59" t="s">
        <v>86</v>
      </c>
      <c r="P6" s="59" t="s">
        <v>87</v>
      </c>
    </row>
    <row r="7" spans="1:16" ht="12.75">
      <c r="A7" s="38">
        <f aca="true" t="shared" si="0" ref="A7:A33">+A6+1</f>
        <v>3</v>
      </c>
      <c r="B7" s="60" t="s">
        <v>88</v>
      </c>
      <c r="C7" s="41">
        <v>40000000</v>
      </c>
      <c r="D7" s="41">
        <v>40000000</v>
      </c>
      <c r="E7" s="41">
        <v>40000000</v>
      </c>
      <c r="F7" s="41">
        <v>40000000</v>
      </c>
      <c r="G7" s="41">
        <v>40000000</v>
      </c>
      <c r="H7" s="41">
        <v>40000000</v>
      </c>
      <c r="I7" s="41">
        <v>40000000</v>
      </c>
      <c r="J7" s="41">
        <v>40000000</v>
      </c>
      <c r="K7" s="41">
        <v>40000000</v>
      </c>
      <c r="L7" s="41">
        <v>40000000</v>
      </c>
      <c r="M7" s="41">
        <v>40000000</v>
      </c>
      <c r="N7" s="41">
        <v>40000000</v>
      </c>
      <c r="O7" s="41">
        <v>40000000</v>
      </c>
      <c r="P7" s="45">
        <f>ROUND(((C7+O7)+(SUM(D7:N7)*2))/24,3)</f>
        <v>40000000</v>
      </c>
    </row>
    <row r="8" spans="1:16" ht="12.75">
      <c r="A8" s="38">
        <f t="shared" si="0"/>
        <v>4</v>
      </c>
      <c r="B8" s="60" t="s">
        <v>152</v>
      </c>
      <c r="C8" s="41">
        <v>17000000</v>
      </c>
      <c r="D8" s="41">
        <v>17000000</v>
      </c>
      <c r="E8" s="41">
        <v>17000000</v>
      </c>
      <c r="F8" s="41">
        <v>17000000</v>
      </c>
      <c r="G8" s="41">
        <v>17000000</v>
      </c>
      <c r="H8" s="41">
        <v>17000000</v>
      </c>
      <c r="I8" s="41">
        <v>17000000</v>
      </c>
      <c r="J8" s="41">
        <v>17000000</v>
      </c>
      <c r="K8" s="41">
        <v>17000000</v>
      </c>
      <c r="L8" s="41">
        <v>17000000</v>
      </c>
      <c r="M8" s="41">
        <v>17000000</v>
      </c>
      <c r="N8" s="41">
        <v>17000000</v>
      </c>
      <c r="O8" s="41">
        <v>17000000</v>
      </c>
      <c r="P8" s="45">
        <f>ROUND(((C8+O8)+(SUM(D8:N8)*2))/24,3)</f>
        <v>17000000</v>
      </c>
    </row>
    <row r="9" spans="1:16" ht="13.5" thickBot="1">
      <c r="A9" s="38">
        <f t="shared" si="0"/>
        <v>5</v>
      </c>
      <c r="B9" s="42" t="s">
        <v>65</v>
      </c>
      <c r="C9" s="46">
        <f aca="true" t="shared" si="1" ref="C9:N9">SUM(C7:C8)</f>
        <v>57000000</v>
      </c>
      <c r="D9" s="46">
        <f t="shared" si="1"/>
        <v>57000000</v>
      </c>
      <c r="E9" s="46">
        <f t="shared" si="1"/>
        <v>57000000</v>
      </c>
      <c r="F9" s="46">
        <f t="shared" si="1"/>
        <v>57000000</v>
      </c>
      <c r="G9" s="46">
        <f t="shared" si="1"/>
        <v>57000000</v>
      </c>
      <c r="H9" s="46">
        <f t="shared" si="1"/>
        <v>57000000</v>
      </c>
      <c r="I9" s="46">
        <f t="shared" si="1"/>
        <v>57000000</v>
      </c>
      <c r="J9" s="46">
        <f t="shared" si="1"/>
        <v>57000000</v>
      </c>
      <c r="K9" s="46">
        <f t="shared" si="1"/>
        <v>57000000</v>
      </c>
      <c r="L9" s="46">
        <f t="shared" si="1"/>
        <v>57000000</v>
      </c>
      <c r="M9" s="46">
        <f t="shared" si="1"/>
        <v>57000000</v>
      </c>
      <c r="N9" s="46">
        <f t="shared" si="1"/>
        <v>57000000</v>
      </c>
      <c r="O9" s="46">
        <f>SUM(O7:O8)</f>
        <v>57000000</v>
      </c>
      <c r="P9" s="47">
        <f>ROUND(((C9+O9)+(SUM(D9:N9)*2))/24,3)</f>
        <v>57000000</v>
      </c>
    </row>
    <row r="10" spans="1:16" ht="13.5" thickTop="1">
      <c r="A10" s="38">
        <f t="shared" si="0"/>
        <v>6</v>
      </c>
      <c r="B10" s="42"/>
      <c r="C10" s="7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8"/>
    </row>
    <row r="11" spans="1:16" ht="12.75">
      <c r="A11" s="38">
        <f t="shared" si="0"/>
        <v>7</v>
      </c>
      <c r="B11" s="42" t="s">
        <v>66</v>
      </c>
      <c r="C11" s="42"/>
      <c r="D11" s="42">
        <f aca="true" t="shared" si="2" ref="D11:O11">+D5-C5</f>
        <v>31</v>
      </c>
      <c r="E11" s="42">
        <f t="shared" si="2"/>
        <v>28</v>
      </c>
      <c r="F11" s="42">
        <f t="shared" si="2"/>
        <v>31</v>
      </c>
      <c r="G11" s="42">
        <f t="shared" si="2"/>
        <v>30</v>
      </c>
      <c r="H11" s="42">
        <f t="shared" si="2"/>
        <v>31</v>
      </c>
      <c r="I11" s="42">
        <f t="shared" si="2"/>
        <v>30</v>
      </c>
      <c r="J11" s="42">
        <f t="shared" si="2"/>
        <v>31</v>
      </c>
      <c r="K11" s="42">
        <f t="shared" si="2"/>
        <v>31</v>
      </c>
      <c r="L11" s="42">
        <f t="shared" si="2"/>
        <v>30</v>
      </c>
      <c r="M11" s="42">
        <f t="shared" si="2"/>
        <v>31</v>
      </c>
      <c r="N11" s="42">
        <f t="shared" si="2"/>
        <v>30</v>
      </c>
      <c r="O11" s="42">
        <f t="shared" si="2"/>
        <v>31</v>
      </c>
      <c r="P11" s="42">
        <f>SUM(C11:O11)</f>
        <v>365</v>
      </c>
    </row>
    <row r="12" spans="1:16" ht="12.75">
      <c r="A12" s="38">
        <f t="shared" si="0"/>
        <v>8</v>
      </c>
      <c r="B12" s="50" t="s">
        <v>158</v>
      </c>
      <c r="C12" s="51"/>
      <c r="D12" s="51">
        <v>0.0306</v>
      </c>
      <c r="E12" s="51">
        <v>0.0306</v>
      </c>
      <c r="F12" s="51">
        <v>0.0313</v>
      </c>
      <c r="G12" s="51">
        <v>0.0288</v>
      </c>
      <c r="H12" s="51">
        <v>0.0288</v>
      </c>
      <c r="I12" s="51">
        <v>0.0288</v>
      </c>
      <c r="J12" s="51">
        <v>0.0288</v>
      </c>
      <c r="K12" s="51">
        <v>0.0288</v>
      </c>
      <c r="L12" s="51">
        <v>0.0288</v>
      </c>
      <c r="M12" s="51">
        <v>0.0288</v>
      </c>
      <c r="N12" s="51">
        <v>0.0288</v>
      </c>
      <c r="O12" s="51">
        <v>0.0288</v>
      </c>
      <c r="P12" s="51"/>
    </row>
    <row r="13" spans="1:16" ht="12.75">
      <c r="A13" s="38">
        <f t="shared" si="0"/>
        <v>9</v>
      </c>
      <c r="B13" s="41" t="s">
        <v>89</v>
      </c>
      <c r="C13" s="42"/>
      <c r="D13" s="57">
        <f aca="true" t="shared" si="3" ref="D13:O13">AVERAGE(C7:D7)*(D12*D11/360)</f>
        <v>105400.00000000001</v>
      </c>
      <c r="E13" s="57">
        <f t="shared" si="3"/>
        <v>95200</v>
      </c>
      <c r="F13" s="57">
        <f t="shared" si="3"/>
        <v>107811.11111111111</v>
      </c>
      <c r="G13" s="57">
        <f t="shared" si="3"/>
        <v>95999.99999999999</v>
      </c>
      <c r="H13" s="57">
        <f t="shared" si="3"/>
        <v>99200</v>
      </c>
      <c r="I13" s="57">
        <f t="shared" si="3"/>
        <v>95999.99999999999</v>
      </c>
      <c r="J13" s="57">
        <f t="shared" si="3"/>
        <v>99200</v>
      </c>
      <c r="K13" s="57">
        <f t="shared" si="3"/>
        <v>99200</v>
      </c>
      <c r="L13" s="57">
        <f t="shared" si="3"/>
        <v>95999.99999999999</v>
      </c>
      <c r="M13" s="57">
        <f t="shared" si="3"/>
        <v>99200</v>
      </c>
      <c r="N13" s="57">
        <f t="shared" si="3"/>
        <v>95999.99999999999</v>
      </c>
      <c r="O13" s="57">
        <f t="shared" si="3"/>
        <v>99200</v>
      </c>
      <c r="P13" s="61">
        <f>SUM(C13:O13)</f>
        <v>1188411.111111111</v>
      </c>
    </row>
    <row r="14" spans="1:16" ht="13.5" thickBot="1">
      <c r="A14" s="38">
        <f t="shared" si="0"/>
        <v>10</v>
      </c>
      <c r="B14" s="42" t="s">
        <v>90</v>
      </c>
      <c r="C14" s="42"/>
      <c r="D14" s="62">
        <f aca="true" t="shared" si="4" ref="D14:P14">SUM(D13:D13)</f>
        <v>105400.00000000001</v>
      </c>
      <c r="E14" s="62">
        <f t="shared" si="4"/>
        <v>95200</v>
      </c>
      <c r="F14" s="62">
        <f t="shared" si="4"/>
        <v>107811.11111111111</v>
      </c>
      <c r="G14" s="62">
        <f t="shared" si="4"/>
        <v>95999.99999999999</v>
      </c>
      <c r="H14" s="62">
        <f t="shared" si="4"/>
        <v>99200</v>
      </c>
      <c r="I14" s="62">
        <f t="shared" si="4"/>
        <v>95999.99999999999</v>
      </c>
      <c r="J14" s="62">
        <f t="shared" si="4"/>
        <v>99200</v>
      </c>
      <c r="K14" s="62">
        <f t="shared" si="4"/>
        <v>99200</v>
      </c>
      <c r="L14" s="62">
        <f t="shared" si="4"/>
        <v>95999.99999999999</v>
      </c>
      <c r="M14" s="62">
        <f t="shared" si="4"/>
        <v>99200</v>
      </c>
      <c r="N14" s="62">
        <f t="shared" si="4"/>
        <v>95999.99999999999</v>
      </c>
      <c r="O14" s="62">
        <f t="shared" si="4"/>
        <v>99200</v>
      </c>
      <c r="P14" s="62">
        <f t="shared" si="4"/>
        <v>1188411.111111111</v>
      </c>
    </row>
    <row r="15" spans="1:16" ht="13.5" thickTop="1">
      <c r="A15" s="38">
        <f t="shared" si="0"/>
        <v>11</v>
      </c>
      <c r="B15" s="34" t="s">
        <v>91</v>
      </c>
      <c r="C15" s="34"/>
      <c r="D15" s="49">
        <f>(+D14)/((D7+C7)/2)*(360/D11)</f>
        <v>0.030600000000000002</v>
      </c>
      <c r="E15" s="49">
        <f>(+E14)/((E7+D7)/2)*(360/E11)</f>
        <v>0.030600000000000002</v>
      </c>
      <c r="F15" s="49">
        <f aca="true" t="shared" si="5" ref="F15:O15">(+F14)/((F7+E7)/2)*(360/F11)</f>
        <v>0.0313</v>
      </c>
      <c r="G15" s="49">
        <f t="shared" si="5"/>
        <v>0.0288</v>
      </c>
      <c r="H15" s="49">
        <f t="shared" si="5"/>
        <v>0.0288</v>
      </c>
      <c r="I15" s="49">
        <f t="shared" si="5"/>
        <v>0.0288</v>
      </c>
      <c r="J15" s="49">
        <f t="shared" si="5"/>
        <v>0.0288</v>
      </c>
      <c r="K15" s="49">
        <f t="shared" si="5"/>
        <v>0.0288</v>
      </c>
      <c r="L15" s="49">
        <f t="shared" si="5"/>
        <v>0.0288</v>
      </c>
      <c r="M15" s="49">
        <f t="shared" si="5"/>
        <v>0.0288</v>
      </c>
      <c r="N15" s="49">
        <f t="shared" si="5"/>
        <v>0.0288</v>
      </c>
      <c r="O15" s="49">
        <f t="shared" si="5"/>
        <v>0.0288</v>
      </c>
      <c r="P15" s="34"/>
    </row>
    <row r="16" spans="1:16" ht="12.75">
      <c r="A16" s="38">
        <f t="shared" si="0"/>
        <v>12</v>
      </c>
      <c r="B16" s="34"/>
      <c r="C16" s="34"/>
      <c r="D16" s="49"/>
      <c r="E16" s="49"/>
      <c r="F16" s="49"/>
      <c r="G16" s="49"/>
      <c r="H16" s="49"/>
      <c r="I16" s="49"/>
      <c r="J16" s="49"/>
      <c r="K16" s="34" t="s">
        <v>92</v>
      </c>
      <c r="N16" s="34"/>
      <c r="O16" s="34"/>
      <c r="P16" s="49">
        <f>(+P14)/P7</f>
        <v>0.029710277777777776</v>
      </c>
    </row>
    <row r="17" spans="1:16" ht="12.75">
      <c r="A17" s="38">
        <f t="shared" si="0"/>
        <v>13</v>
      </c>
      <c r="B17" s="34"/>
      <c r="C17" s="34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34"/>
      <c r="O17" s="34"/>
      <c r="P17" s="49"/>
    </row>
    <row r="18" spans="1:16" ht="12.75">
      <c r="A18" s="38">
        <f t="shared" si="0"/>
        <v>14</v>
      </c>
      <c r="B18" s="42" t="s">
        <v>66</v>
      </c>
      <c r="C18" s="42"/>
      <c r="D18" s="42">
        <f>+D5-C5</f>
        <v>31</v>
      </c>
      <c r="E18" s="42">
        <f aca="true" t="shared" si="6" ref="E18:O18">+E5-D5</f>
        <v>28</v>
      </c>
      <c r="F18" s="42">
        <f t="shared" si="6"/>
        <v>31</v>
      </c>
      <c r="G18" s="42">
        <f t="shared" si="6"/>
        <v>30</v>
      </c>
      <c r="H18" s="42">
        <f t="shared" si="6"/>
        <v>31</v>
      </c>
      <c r="I18" s="42">
        <f t="shared" si="6"/>
        <v>30</v>
      </c>
      <c r="J18" s="42">
        <f t="shared" si="6"/>
        <v>31</v>
      </c>
      <c r="K18" s="42">
        <f t="shared" si="6"/>
        <v>31</v>
      </c>
      <c r="L18" s="42">
        <f t="shared" si="6"/>
        <v>30</v>
      </c>
      <c r="M18" s="42">
        <f t="shared" si="6"/>
        <v>31</v>
      </c>
      <c r="N18" s="42">
        <f t="shared" si="6"/>
        <v>30</v>
      </c>
      <c r="O18" s="42">
        <f t="shared" si="6"/>
        <v>31</v>
      </c>
      <c r="P18" s="42">
        <f>SUM(C18:O18)</f>
        <v>365</v>
      </c>
    </row>
    <row r="19" spans="1:16" ht="12.75">
      <c r="A19" s="38">
        <f t="shared" si="0"/>
        <v>15</v>
      </c>
      <c r="B19" s="50" t="s">
        <v>159</v>
      </c>
      <c r="C19" s="51"/>
      <c r="D19" s="51">
        <v>0.0225</v>
      </c>
      <c r="E19" s="51">
        <v>0.0225</v>
      </c>
      <c r="F19" s="51">
        <v>0.02</v>
      </c>
      <c r="G19" s="51">
        <v>0.02</v>
      </c>
      <c r="H19" s="51">
        <v>0.02</v>
      </c>
      <c r="I19" s="51">
        <v>0.02</v>
      </c>
      <c r="J19" s="51">
        <v>0.02</v>
      </c>
      <c r="K19" s="51">
        <v>0.02</v>
      </c>
      <c r="L19" s="51">
        <v>0.02</v>
      </c>
      <c r="M19" s="51">
        <v>0.02</v>
      </c>
      <c r="N19" s="51">
        <v>0.02</v>
      </c>
      <c r="O19" s="51">
        <v>0.02</v>
      </c>
      <c r="P19" s="51"/>
    </row>
    <row r="20" spans="1:16" ht="12.75">
      <c r="A20" s="38">
        <f t="shared" si="0"/>
        <v>16</v>
      </c>
      <c r="B20" s="60" t="s">
        <v>152</v>
      </c>
      <c r="C20" s="42"/>
      <c r="D20" s="57">
        <f>AVERAGE(C8:D8)*(D19*D18/360)</f>
        <v>32937.5</v>
      </c>
      <c r="E20" s="57">
        <f aca="true" t="shared" si="7" ref="E20:O20">AVERAGE(D8:E8)*(E19*E18/360)</f>
        <v>29750</v>
      </c>
      <c r="F20" s="57">
        <f t="shared" si="7"/>
        <v>29277.777777777777</v>
      </c>
      <c r="G20" s="57">
        <f t="shared" si="7"/>
        <v>28333.333333333332</v>
      </c>
      <c r="H20" s="57">
        <f t="shared" si="7"/>
        <v>29277.777777777777</v>
      </c>
      <c r="I20" s="57">
        <f t="shared" si="7"/>
        <v>28333.333333333332</v>
      </c>
      <c r="J20" s="57">
        <f t="shared" si="7"/>
        <v>29277.777777777777</v>
      </c>
      <c r="K20" s="57">
        <f t="shared" si="7"/>
        <v>29277.777777777777</v>
      </c>
      <c r="L20" s="57">
        <f t="shared" si="7"/>
        <v>28333.333333333332</v>
      </c>
      <c r="M20" s="57">
        <f t="shared" si="7"/>
        <v>29277.777777777777</v>
      </c>
      <c r="N20" s="57">
        <f t="shared" si="7"/>
        <v>28333.333333333332</v>
      </c>
      <c r="O20" s="57">
        <f t="shared" si="7"/>
        <v>29277.777777777777</v>
      </c>
      <c r="P20" s="61">
        <f>SUM(C20:O20)</f>
        <v>351687.49999999994</v>
      </c>
    </row>
    <row r="21" spans="1:16" ht="13.5" thickBot="1">
      <c r="A21" s="38">
        <f t="shared" si="0"/>
        <v>17</v>
      </c>
      <c r="B21" s="42" t="s">
        <v>90</v>
      </c>
      <c r="C21" s="42"/>
      <c r="D21" s="62">
        <f aca="true" t="shared" si="8" ref="D21:P21">SUM(D20:D20)</f>
        <v>32937.5</v>
      </c>
      <c r="E21" s="62">
        <f t="shared" si="8"/>
        <v>29750</v>
      </c>
      <c r="F21" s="62">
        <f t="shared" si="8"/>
        <v>29277.777777777777</v>
      </c>
      <c r="G21" s="62">
        <f t="shared" si="8"/>
        <v>28333.333333333332</v>
      </c>
      <c r="H21" s="62">
        <f t="shared" si="8"/>
        <v>29277.777777777777</v>
      </c>
      <c r="I21" s="62">
        <f t="shared" si="8"/>
        <v>28333.333333333332</v>
      </c>
      <c r="J21" s="62">
        <f t="shared" si="8"/>
        <v>29277.777777777777</v>
      </c>
      <c r="K21" s="62">
        <f t="shared" si="8"/>
        <v>29277.777777777777</v>
      </c>
      <c r="L21" s="62">
        <f t="shared" si="8"/>
        <v>28333.333333333332</v>
      </c>
      <c r="M21" s="62">
        <f t="shared" si="8"/>
        <v>29277.777777777777</v>
      </c>
      <c r="N21" s="62">
        <f t="shared" si="8"/>
        <v>28333.333333333332</v>
      </c>
      <c r="O21" s="62">
        <f t="shared" si="8"/>
        <v>29277.777777777777</v>
      </c>
      <c r="P21" s="62">
        <f t="shared" si="8"/>
        <v>351687.49999999994</v>
      </c>
    </row>
    <row r="22" spans="1:16" ht="13.5" thickTop="1">
      <c r="A22" s="38">
        <f t="shared" si="0"/>
        <v>18</v>
      </c>
      <c r="B22" s="34" t="s">
        <v>91</v>
      </c>
      <c r="C22" s="34"/>
      <c r="D22" s="49">
        <f>(+D21)/((D8+C8)/2)*(360/D18)</f>
        <v>0.0225</v>
      </c>
      <c r="E22" s="49">
        <f aca="true" t="shared" si="9" ref="E22:O22">(+E21)/((E8+D8)/2)*(360/E18)</f>
        <v>0.022500000000000003</v>
      </c>
      <c r="F22" s="49">
        <f t="shared" si="9"/>
        <v>0.02</v>
      </c>
      <c r="G22" s="49">
        <f t="shared" si="9"/>
        <v>0.019999999999999997</v>
      </c>
      <c r="H22" s="49">
        <f t="shared" si="9"/>
        <v>0.02</v>
      </c>
      <c r="I22" s="49">
        <f t="shared" si="9"/>
        <v>0.019999999999999997</v>
      </c>
      <c r="J22" s="49">
        <f t="shared" si="9"/>
        <v>0.02</v>
      </c>
      <c r="K22" s="49">
        <f t="shared" si="9"/>
        <v>0.02</v>
      </c>
      <c r="L22" s="49">
        <f t="shared" si="9"/>
        <v>0.019999999999999997</v>
      </c>
      <c r="M22" s="49">
        <f t="shared" si="9"/>
        <v>0.02</v>
      </c>
      <c r="N22" s="49">
        <f t="shared" si="9"/>
        <v>0.019999999999999997</v>
      </c>
      <c r="O22" s="49">
        <f t="shared" si="9"/>
        <v>0.02</v>
      </c>
      <c r="P22" s="34"/>
    </row>
    <row r="23" spans="1:16" ht="12.75">
      <c r="A23" s="38">
        <f t="shared" si="0"/>
        <v>19</v>
      </c>
      <c r="B23" s="34"/>
      <c r="C23" s="34"/>
      <c r="D23" s="49"/>
      <c r="E23" s="49"/>
      <c r="F23" s="49"/>
      <c r="G23" s="49"/>
      <c r="H23" s="49"/>
      <c r="I23" s="49"/>
      <c r="J23" s="49"/>
      <c r="K23" s="34" t="s">
        <v>92</v>
      </c>
      <c r="N23" s="34"/>
      <c r="O23" s="34"/>
      <c r="P23" s="49">
        <f>(+P21)/P8</f>
        <v>0.020687499999999998</v>
      </c>
    </row>
    <row r="24" ht="12.75">
      <c r="A24" s="38">
        <f t="shared" si="0"/>
        <v>20</v>
      </c>
    </row>
    <row r="25" spans="1:16" ht="12.75">
      <c r="A25" s="38">
        <f t="shared" si="0"/>
        <v>21</v>
      </c>
      <c r="B25" s="42"/>
      <c r="C25" s="42"/>
      <c r="D25" s="75"/>
      <c r="E25" s="42"/>
      <c r="F25" s="42"/>
      <c r="G25" s="42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8">
        <f t="shared" si="0"/>
        <v>22</v>
      </c>
      <c r="B26" s="52"/>
      <c r="C26" s="51"/>
      <c r="D26" s="51"/>
      <c r="E26" s="51"/>
      <c r="F26" s="51"/>
      <c r="G26" s="51"/>
      <c r="H26" s="34"/>
      <c r="I26" s="34"/>
      <c r="J26" s="34"/>
      <c r="K26" s="34"/>
      <c r="L26" s="34"/>
      <c r="M26" s="34"/>
      <c r="N26" s="34"/>
      <c r="O26" s="34"/>
      <c r="P26" s="63"/>
    </row>
    <row r="27" spans="1:13" ht="12.75">
      <c r="A27" s="38">
        <f t="shared" si="0"/>
        <v>23</v>
      </c>
      <c r="B27" s="7"/>
      <c r="C27" s="5"/>
      <c r="D27" s="8"/>
      <c r="E27" s="5"/>
      <c r="F27" s="5"/>
      <c r="G27" s="5"/>
      <c r="H27" s="5"/>
      <c r="I27" s="5"/>
      <c r="J27" s="9"/>
      <c r="K27" s="5" t="s">
        <v>0</v>
      </c>
      <c r="L27" s="5"/>
      <c r="M27" s="7"/>
    </row>
    <row r="28" spans="1:13" ht="12.75">
      <c r="A28" s="38">
        <f t="shared" si="0"/>
        <v>24</v>
      </c>
      <c r="B28" s="7"/>
      <c r="C28" s="5" t="s">
        <v>2</v>
      </c>
      <c r="D28" s="8" t="s">
        <v>3</v>
      </c>
      <c r="E28" s="5" t="s">
        <v>4</v>
      </c>
      <c r="F28" s="5" t="s">
        <v>0</v>
      </c>
      <c r="G28" s="5" t="s">
        <v>5</v>
      </c>
      <c r="H28" s="7" t="s">
        <v>6</v>
      </c>
      <c r="I28" s="5" t="s">
        <v>7</v>
      </c>
      <c r="J28" s="9" t="s">
        <v>8</v>
      </c>
      <c r="K28" s="5" t="s">
        <v>9</v>
      </c>
      <c r="L28" s="5" t="s">
        <v>10</v>
      </c>
      <c r="M28" s="76"/>
    </row>
    <row r="29" spans="1:13" ht="12.75">
      <c r="A29" s="38">
        <f t="shared" si="0"/>
        <v>25</v>
      </c>
      <c r="B29" s="10" t="s">
        <v>81</v>
      </c>
      <c r="C29" s="11" t="s">
        <v>12</v>
      </c>
      <c r="D29" s="12" t="s">
        <v>13</v>
      </c>
      <c r="E29" s="11" t="s">
        <v>13</v>
      </c>
      <c r="F29" s="11" t="s">
        <v>14</v>
      </c>
      <c r="G29" s="11" t="s">
        <v>15</v>
      </c>
      <c r="H29" s="10" t="s">
        <v>16</v>
      </c>
      <c r="I29" s="11" t="s">
        <v>17</v>
      </c>
      <c r="J29" s="13" t="s">
        <v>3</v>
      </c>
      <c r="K29" s="14">
        <v>38351</v>
      </c>
      <c r="L29" s="11" t="s">
        <v>18</v>
      </c>
      <c r="M29" s="76"/>
    </row>
    <row r="30" spans="1:13" ht="13.5" customHeight="1">
      <c r="A30" s="38">
        <f t="shared" si="0"/>
        <v>26</v>
      </c>
      <c r="B30" s="7" t="s">
        <v>30</v>
      </c>
      <c r="C30" s="5" t="s">
        <v>31</v>
      </c>
      <c r="D30" s="32" t="s">
        <v>40</v>
      </c>
      <c r="E30" s="5" t="s">
        <v>32</v>
      </c>
      <c r="F30" s="5" t="s">
        <v>33</v>
      </c>
      <c r="G30" s="5" t="s">
        <v>34</v>
      </c>
      <c r="H30" s="5" t="s">
        <v>35</v>
      </c>
      <c r="I30" s="5" t="s">
        <v>36</v>
      </c>
      <c r="J30" s="9" t="s">
        <v>37</v>
      </c>
      <c r="K30" s="5" t="s">
        <v>38</v>
      </c>
      <c r="L30" s="5" t="s">
        <v>39</v>
      </c>
      <c r="M30" s="22"/>
    </row>
    <row r="31" spans="1:13" ht="12.75">
      <c r="A31" s="38">
        <f t="shared" si="0"/>
        <v>27</v>
      </c>
      <c r="B31" s="60" t="s">
        <v>88</v>
      </c>
      <c r="C31" s="19">
        <f>+P16</f>
        <v>0.029710277777777776</v>
      </c>
      <c r="D31" s="18">
        <v>48730</v>
      </c>
      <c r="E31" s="18">
        <v>34122</v>
      </c>
      <c r="F31" s="3">
        <v>40000000</v>
      </c>
      <c r="G31" s="3">
        <v>1296086</v>
      </c>
      <c r="H31" s="3">
        <v>-2500000</v>
      </c>
      <c r="I31" s="3">
        <f>F31-G31-H31</f>
        <v>41203914</v>
      </c>
      <c r="J31" s="20">
        <f>YIELD(E31,D31,C31,I31/F31*100,100,2,0)</f>
        <v>0.02844533694983985</v>
      </c>
      <c r="K31" s="21">
        <f>F31</f>
        <v>40000000</v>
      </c>
      <c r="L31" s="21">
        <f>J31*K31</f>
        <v>1137813.477993594</v>
      </c>
      <c r="M31" s="22"/>
    </row>
    <row r="32" spans="1:12" ht="12.75">
      <c r="A32" s="38">
        <f t="shared" si="0"/>
        <v>28</v>
      </c>
      <c r="B32" s="133" t="s">
        <v>153</v>
      </c>
      <c r="C32" s="19">
        <f>+P23</f>
        <v>0.020687499999999998</v>
      </c>
      <c r="D32" s="18">
        <v>47542</v>
      </c>
      <c r="E32" s="18">
        <v>38351</v>
      </c>
      <c r="F32" s="3">
        <v>17000000</v>
      </c>
      <c r="G32" s="3">
        <f>+F32*0.015</f>
        <v>255000</v>
      </c>
      <c r="H32" s="3">
        <f>1066367+1266265</f>
        <v>2332632</v>
      </c>
      <c r="I32" s="3">
        <f>F32-G32-H32</f>
        <v>14412368</v>
      </c>
      <c r="J32" s="20">
        <f>YIELD(E32,D32,C32,I32/F32*100,100,2,0)</f>
        <v>0.02927630184864734</v>
      </c>
      <c r="K32" s="21">
        <f>F32</f>
        <v>17000000</v>
      </c>
      <c r="L32" s="21">
        <f>J32*K32</f>
        <v>497697.1314270048</v>
      </c>
    </row>
    <row r="33" spans="1:14" ht="12.75">
      <c r="A33" s="38">
        <f t="shared" si="0"/>
        <v>29</v>
      </c>
      <c r="B33" s="51"/>
      <c r="C33" s="51"/>
      <c r="E33" s="16"/>
      <c r="F33" s="18"/>
      <c r="G33" s="34"/>
      <c r="H33" s="34"/>
      <c r="I33" s="34"/>
      <c r="J33" s="34"/>
      <c r="K33" s="34"/>
      <c r="L33" s="34"/>
      <c r="M33" s="34"/>
      <c r="N33" s="34"/>
    </row>
    <row r="34" spans="8:15" ht="12.75">
      <c r="H34" s="3"/>
      <c r="I34" s="1"/>
      <c r="J34" s="3"/>
      <c r="O34" s="34"/>
    </row>
    <row r="35" spans="7:9" ht="12.75">
      <c r="G35" s="68"/>
      <c r="H35" s="3"/>
      <c r="I35" s="3"/>
    </row>
    <row r="36" ht="12.75">
      <c r="G36" s="78"/>
    </row>
    <row r="37" ht="12.75">
      <c r="G37" s="78"/>
    </row>
  </sheetData>
  <mergeCells count="3">
    <mergeCell ref="A1:P1"/>
    <mergeCell ref="A2:P2"/>
    <mergeCell ref="A3:P3"/>
  </mergeCells>
  <conditionalFormatting sqref="G25:G26 D31:D32 G23 G10:G11 G16:G17">
    <cfRule type="expression" priority="1" dxfId="0" stopIfTrue="1">
      <formula>(D10&lt;#REF!)</formula>
    </cfRule>
  </conditionalFormatting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&amp;RExhibit No. ____ (MTT-2)</oddHeader>
    <oddFooter>&amp;R&amp;8Page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C1">
      <selection activeCell="P25" sqref="P25"/>
    </sheetView>
  </sheetViews>
  <sheetFormatPr defaultColWidth="9.140625" defaultRowHeight="12.75"/>
  <cols>
    <col min="1" max="1" width="4.7109375" style="36" customWidth="1"/>
    <col min="2" max="2" width="24.28125" style="36" customWidth="1"/>
    <col min="3" max="3" width="8.00390625" style="36" customWidth="1"/>
    <col min="4" max="4" width="12.7109375" style="36" customWidth="1"/>
    <col min="5" max="5" width="10.140625" style="36" bestFit="1" customWidth="1"/>
    <col min="6" max="7" width="8.140625" style="36" customWidth="1"/>
    <col min="8" max="10" width="8.28125" style="36" customWidth="1"/>
    <col min="11" max="12" width="8.421875" style="36" customWidth="1"/>
    <col min="13" max="13" width="8.28125" style="36" customWidth="1"/>
    <col min="14" max="14" width="8.140625" style="36" customWidth="1"/>
    <col min="15" max="15" width="8.28125" style="36" customWidth="1"/>
    <col min="16" max="16" width="11.28125" style="36" customWidth="1"/>
    <col min="17" max="17" width="9.8515625" style="36" bestFit="1" customWidth="1"/>
    <col min="18" max="16384" width="9.140625" style="36" customWidth="1"/>
  </cols>
  <sheetData>
    <row r="1" spans="1:16" s="1" customFormat="1" ht="11.25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s="1" customFormat="1" ht="11.25">
      <c r="A2" s="140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s="1" customFormat="1" ht="12.75" customHeight="1">
      <c r="A3" s="141">
        <f>+'Exhibit MTT-2 Page 2'!A7</f>
        <v>38716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2.75">
      <c r="A4" s="34"/>
      <c r="B4" s="35"/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2.75">
      <c r="A5" s="38">
        <v>1</v>
      </c>
      <c r="B5" s="34"/>
      <c r="C5" s="39">
        <f>+A3-365</f>
        <v>38351</v>
      </c>
      <c r="D5" s="39">
        <f>EOMONTH(C5,1)</f>
        <v>38382</v>
      </c>
      <c r="E5" s="39">
        <f>EOMONTH(D5,1)</f>
        <v>38410</v>
      </c>
      <c r="F5" s="39">
        <f>EOMONTH(E5,1)</f>
        <v>38441</v>
      </c>
      <c r="G5" s="39">
        <f>EOMONTH(F5,1)</f>
        <v>38471</v>
      </c>
      <c r="H5" s="39">
        <f>EOMONTH(G5,1)</f>
        <v>38502</v>
      </c>
      <c r="I5" s="39">
        <f>EOMONTH(H5,1)</f>
        <v>38532</v>
      </c>
      <c r="J5" s="39">
        <f>EOMONTH(I5,1)</f>
        <v>38563</v>
      </c>
      <c r="K5" s="39">
        <f>EOMONTH(J5,1)</f>
        <v>38594</v>
      </c>
      <c r="L5" s="39">
        <f>EOMONTH(K5,1)</f>
        <v>38624</v>
      </c>
      <c r="M5" s="39">
        <f>EOMONTH(L5,1)</f>
        <v>38655</v>
      </c>
      <c r="N5" s="39">
        <f>EOMONTH(M5,1)</f>
        <v>38685</v>
      </c>
      <c r="O5" s="39">
        <f>EOMONTH(N5,1)</f>
        <v>38716</v>
      </c>
      <c r="P5" s="40" t="s">
        <v>64</v>
      </c>
    </row>
    <row r="6" spans="1:16" s="56" customFormat="1" ht="12.75">
      <c r="A6" s="38">
        <f>+A5+1</f>
        <v>2</v>
      </c>
      <c r="B6" s="38" t="s">
        <v>49</v>
      </c>
      <c r="C6" s="59" t="s">
        <v>50</v>
      </c>
      <c r="D6" s="59" t="s">
        <v>51</v>
      </c>
      <c r="E6" s="59" t="s">
        <v>52</v>
      </c>
      <c r="F6" s="59" t="s">
        <v>53</v>
      </c>
      <c r="G6" s="59" t="s">
        <v>54</v>
      </c>
      <c r="H6" s="59" t="s">
        <v>55</v>
      </c>
      <c r="I6" s="59" t="s">
        <v>56</v>
      </c>
      <c r="J6" s="59" t="s">
        <v>57</v>
      </c>
      <c r="K6" s="59" t="s">
        <v>58</v>
      </c>
      <c r="L6" s="59" t="s">
        <v>59</v>
      </c>
      <c r="M6" s="59" t="s">
        <v>60</v>
      </c>
      <c r="N6" s="59" t="s">
        <v>61</v>
      </c>
      <c r="O6" s="59" t="s">
        <v>62</v>
      </c>
      <c r="P6" s="59" t="s">
        <v>63</v>
      </c>
    </row>
    <row r="7" spans="1:16" ht="12.75">
      <c r="A7" s="38">
        <f aca="true" t="shared" si="0" ref="A7:A25">+A6+1</f>
        <v>3</v>
      </c>
      <c r="B7" s="60" t="s">
        <v>70</v>
      </c>
      <c r="C7" s="41">
        <v>192766</v>
      </c>
      <c r="D7" s="41">
        <v>192380</v>
      </c>
      <c r="E7" s="41">
        <v>170803</v>
      </c>
      <c r="F7" s="41">
        <v>142587</v>
      </c>
      <c r="G7" s="41">
        <v>219281</v>
      </c>
      <c r="H7" s="41">
        <v>193177</v>
      </c>
      <c r="I7" s="41">
        <v>215675</v>
      </c>
      <c r="J7" s="41">
        <v>215817</v>
      </c>
      <c r="K7" s="41">
        <v>211097</v>
      </c>
      <c r="L7" s="41">
        <v>122702</v>
      </c>
      <c r="M7" s="41">
        <v>126033</v>
      </c>
      <c r="N7" s="41">
        <v>131425</v>
      </c>
      <c r="O7" s="41">
        <v>31705</v>
      </c>
      <c r="P7" s="45">
        <f>ROUND(((C7+O7)+(SUM(D7:N7)*2))/24,3)</f>
        <v>171101.042</v>
      </c>
    </row>
    <row r="8" spans="1:16" ht="13.5" thickBot="1">
      <c r="A8" s="38">
        <f t="shared" si="0"/>
        <v>4</v>
      </c>
      <c r="B8" s="42" t="s">
        <v>65</v>
      </c>
      <c r="C8" s="46">
        <f aca="true" t="shared" si="1" ref="C8:O8">SUM(C7:C7)</f>
        <v>192766</v>
      </c>
      <c r="D8" s="46">
        <f t="shared" si="1"/>
        <v>192380</v>
      </c>
      <c r="E8" s="46">
        <f t="shared" si="1"/>
        <v>170803</v>
      </c>
      <c r="F8" s="46">
        <f t="shared" si="1"/>
        <v>142587</v>
      </c>
      <c r="G8" s="46">
        <f t="shared" si="1"/>
        <v>219281</v>
      </c>
      <c r="H8" s="46">
        <f t="shared" si="1"/>
        <v>193177</v>
      </c>
      <c r="I8" s="46">
        <f t="shared" si="1"/>
        <v>215675</v>
      </c>
      <c r="J8" s="46">
        <f t="shared" si="1"/>
        <v>215817</v>
      </c>
      <c r="K8" s="46">
        <f t="shared" si="1"/>
        <v>211097</v>
      </c>
      <c r="L8" s="46">
        <f t="shared" si="1"/>
        <v>122702</v>
      </c>
      <c r="M8" s="46">
        <f t="shared" si="1"/>
        <v>126033</v>
      </c>
      <c r="N8" s="46">
        <f t="shared" si="1"/>
        <v>131425</v>
      </c>
      <c r="O8" s="46">
        <f t="shared" si="1"/>
        <v>31705</v>
      </c>
      <c r="P8" s="47">
        <f>ROUND(((C8+O8)+(SUM(D8:N8)*2))/24,3)</f>
        <v>171101.042</v>
      </c>
    </row>
    <row r="9" spans="1:16" ht="13.5" thickTop="1">
      <c r="A9" s="38">
        <f t="shared" si="0"/>
        <v>5</v>
      </c>
      <c r="B9" s="42"/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8"/>
    </row>
    <row r="10" spans="1:16" ht="12.75">
      <c r="A10" s="38">
        <f t="shared" si="0"/>
        <v>6</v>
      </c>
      <c r="B10" s="42" t="s">
        <v>66</v>
      </c>
      <c r="C10" s="42"/>
      <c r="D10" s="42">
        <f aca="true" t="shared" si="2" ref="D10:O10">+D5-C5</f>
        <v>31</v>
      </c>
      <c r="E10" s="42">
        <f t="shared" si="2"/>
        <v>28</v>
      </c>
      <c r="F10" s="42">
        <f t="shared" si="2"/>
        <v>31</v>
      </c>
      <c r="G10" s="42">
        <f t="shared" si="2"/>
        <v>30</v>
      </c>
      <c r="H10" s="42">
        <f t="shared" si="2"/>
        <v>31</v>
      </c>
      <c r="I10" s="42">
        <f t="shared" si="2"/>
        <v>30</v>
      </c>
      <c r="J10" s="42">
        <f t="shared" si="2"/>
        <v>31</v>
      </c>
      <c r="K10" s="42">
        <f t="shared" si="2"/>
        <v>31</v>
      </c>
      <c r="L10" s="42">
        <f t="shared" si="2"/>
        <v>30</v>
      </c>
      <c r="M10" s="42">
        <f t="shared" si="2"/>
        <v>31</v>
      </c>
      <c r="N10" s="42">
        <f t="shared" si="2"/>
        <v>30</v>
      </c>
      <c r="O10" s="42">
        <f t="shared" si="2"/>
        <v>31</v>
      </c>
      <c r="P10" s="42">
        <f>SUM(C10:O10)</f>
        <v>365</v>
      </c>
    </row>
    <row r="11" spans="1:16" ht="12.75">
      <c r="A11" s="38">
        <f t="shared" si="0"/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>
      <c r="A12" s="38">
        <f t="shared" si="0"/>
        <v>8</v>
      </c>
      <c r="B12" s="41" t="s">
        <v>78</v>
      </c>
      <c r="C12" s="42"/>
      <c r="D12" s="57">
        <f aca="true" t="shared" si="3" ref="D12:O12">AVERAGE(C7:D7)*(D17*D10/360)*1000</f>
        <v>464314.9</v>
      </c>
      <c r="E12" s="57">
        <f t="shared" si="3"/>
        <v>395465.9333333334</v>
      </c>
      <c r="F12" s="57">
        <f t="shared" si="3"/>
        <v>377809.05555555556</v>
      </c>
      <c r="G12" s="57">
        <f t="shared" si="3"/>
        <v>384484.74999999994</v>
      </c>
      <c r="H12" s="57">
        <f t="shared" si="3"/>
        <v>452844.5125</v>
      </c>
      <c r="I12" s="57">
        <f t="shared" si="3"/>
        <v>434405.24999999994</v>
      </c>
      <c r="J12" s="57">
        <f t="shared" si="3"/>
        <v>473742.25833333336</v>
      </c>
      <c r="K12" s="57">
        <f t="shared" si="3"/>
        <v>468715.99583333335</v>
      </c>
      <c r="L12" s="57">
        <f t="shared" si="3"/>
        <v>354661.4375</v>
      </c>
      <c r="M12" s="57">
        <f t="shared" si="3"/>
        <v>273090.3020833334</v>
      </c>
      <c r="N12" s="57">
        <f t="shared" si="3"/>
        <v>273549.12499999994</v>
      </c>
      <c r="O12" s="57">
        <f t="shared" si="3"/>
        <v>179103.14583333334</v>
      </c>
      <c r="P12" s="61">
        <f>SUM(C12:O12)</f>
        <v>4532186.665972222</v>
      </c>
    </row>
    <row r="13" spans="1:16" ht="13.5" thickBot="1">
      <c r="A13" s="38">
        <f t="shared" si="0"/>
        <v>9</v>
      </c>
      <c r="B13" s="42" t="s">
        <v>67</v>
      </c>
      <c r="C13" s="42"/>
      <c r="D13" s="62">
        <f aca="true" t="shared" si="4" ref="D13:P13">SUM(D12:D12)</f>
        <v>464314.9</v>
      </c>
      <c r="E13" s="62">
        <f t="shared" si="4"/>
        <v>395465.9333333334</v>
      </c>
      <c r="F13" s="62">
        <f t="shared" si="4"/>
        <v>377809.05555555556</v>
      </c>
      <c r="G13" s="62">
        <f t="shared" si="4"/>
        <v>384484.74999999994</v>
      </c>
      <c r="H13" s="62">
        <f t="shared" si="4"/>
        <v>452844.5125</v>
      </c>
      <c r="I13" s="62">
        <f t="shared" si="4"/>
        <v>434405.24999999994</v>
      </c>
      <c r="J13" s="62">
        <f t="shared" si="4"/>
        <v>473742.25833333336</v>
      </c>
      <c r="K13" s="62">
        <f t="shared" si="4"/>
        <v>468715.99583333335</v>
      </c>
      <c r="L13" s="62">
        <f t="shared" si="4"/>
        <v>354661.4375</v>
      </c>
      <c r="M13" s="62">
        <f t="shared" si="4"/>
        <v>273090.3020833334</v>
      </c>
      <c r="N13" s="62">
        <f t="shared" si="4"/>
        <v>273549.12499999994</v>
      </c>
      <c r="O13" s="62">
        <f t="shared" si="4"/>
        <v>179103.14583333334</v>
      </c>
      <c r="P13" s="62">
        <f t="shared" si="4"/>
        <v>4532186.665972222</v>
      </c>
    </row>
    <row r="14" spans="1:16" ht="13.5" thickTop="1">
      <c r="A14" s="38">
        <f t="shared" si="0"/>
        <v>10</v>
      </c>
      <c r="B14" s="34" t="s">
        <v>68</v>
      </c>
      <c r="C14" s="34"/>
      <c r="D14" s="49">
        <f aca="true" t="shared" si="5" ref="D14:O14">(+D13/1000)/((D8+C8)/2)*(360/D10)</f>
        <v>0.028000000000000004</v>
      </c>
      <c r="E14" s="49">
        <f t="shared" si="5"/>
        <v>0.028000000000000004</v>
      </c>
      <c r="F14" s="49">
        <f t="shared" si="5"/>
        <v>0.028000000000000004</v>
      </c>
      <c r="G14" s="49">
        <f t="shared" si="5"/>
        <v>0.025499999999999995</v>
      </c>
      <c r="H14" s="49">
        <f t="shared" si="5"/>
        <v>0.025500000000000002</v>
      </c>
      <c r="I14" s="49">
        <f t="shared" si="5"/>
        <v>0.025499999999999995</v>
      </c>
      <c r="J14" s="49">
        <f t="shared" si="5"/>
        <v>0.025500000000000002</v>
      </c>
      <c r="K14" s="49">
        <f t="shared" si="5"/>
        <v>0.025500000000000002</v>
      </c>
      <c r="L14" s="49">
        <f t="shared" si="5"/>
        <v>0.025499999999999995</v>
      </c>
      <c r="M14" s="49">
        <f t="shared" si="5"/>
        <v>0.025500000000000002</v>
      </c>
      <c r="N14" s="49">
        <f t="shared" si="5"/>
        <v>0.025499999999999995</v>
      </c>
      <c r="O14" s="49">
        <f t="shared" si="5"/>
        <v>0.025500000000000002</v>
      </c>
      <c r="P14" s="34"/>
    </row>
    <row r="15" spans="1:16" ht="12.75">
      <c r="A15" s="38">
        <f t="shared" si="0"/>
        <v>11</v>
      </c>
      <c r="B15" s="34"/>
      <c r="C15" s="34"/>
      <c r="D15" s="49"/>
      <c r="E15" s="49"/>
      <c r="F15" s="49"/>
      <c r="G15" s="49"/>
      <c r="H15" s="49"/>
      <c r="I15" s="49"/>
      <c r="J15" s="49"/>
      <c r="K15" s="49"/>
      <c r="L15" s="49"/>
      <c r="M15" s="34" t="s">
        <v>69</v>
      </c>
      <c r="O15" s="34"/>
      <c r="P15" s="49">
        <f>(+P13/1000)/P8</f>
        <v>0.026488363910561235</v>
      </c>
    </row>
    <row r="16" spans="1:16" ht="12.75">
      <c r="A16" s="38">
        <f t="shared" si="0"/>
        <v>12</v>
      </c>
      <c r="B16" s="34"/>
      <c r="C16" s="34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34"/>
      <c r="O16" s="34"/>
      <c r="P16" s="49"/>
    </row>
    <row r="17" spans="1:16" ht="12.75">
      <c r="A17" s="38">
        <f t="shared" si="0"/>
        <v>13</v>
      </c>
      <c r="B17" s="50" t="s">
        <v>160</v>
      </c>
      <c r="C17" s="51"/>
      <c r="D17" s="51">
        <v>0.028</v>
      </c>
      <c r="E17" s="51">
        <v>0.028</v>
      </c>
      <c r="F17" s="51">
        <v>0.028</v>
      </c>
      <c r="G17" s="51">
        <v>0.0255</v>
      </c>
      <c r="H17" s="51">
        <v>0.0255</v>
      </c>
      <c r="I17" s="51">
        <v>0.0255</v>
      </c>
      <c r="J17" s="51">
        <v>0.0255</v>
      </c>
      <c r="K17" s="51">
        <v>0.0255</v>
      </c>
      <c r="L17" s="51">
        <v>0.0255</v>
      </c>
      <c r="M17" s="51">
        <v>0.0255</v>
      </c>
      <c r="N17" s="51">
        <v>0.0255</v>
      </c>
      <c r="O17" s="51">
        <v>0.0255</v>
      </c>
      <c r="P17" s="51"/>
    </row>
    <row r="18" spans="1:16" ht="12.75">
      <c r="A18" s="38">
        <f t="shared" si="0"/>
        <v>14</v>
      </c>
      <c r="B18" s="42"/>
      <c r="C18" s="42"/>
      <c r="D18" s="44"/>
      <c r="E18" s="42"/>
      <c r="F18" s="42"/>
      <c r="G18" s="42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>
      <c r="A19" s="38">
        <f t="shared" si="0"/>
        <v>15</v>
      </c>
      <c r="B19" s="60" t="s">
        <v>82</v>
      </c>
      <c r="C19" s="58"/>
      <c r="D19" s="41">
        <v>40092.3896499239</v>
      </c>
      <c r="E19" s="41">
        <v>33014.53576864536</v>
      </c>
      <c r="F19" s="41">
        <v>35424.105783866056</v>
      </c>
      <c r="G19" s="41">
        <v>32213.470319634704</v>
      </c>
      <c r="H19" s="41">
        <v>34514.04109589041</v>
      </c>
      <c r="I19" s="41">
        <v>25933.789954337903</v>
      </c>
      <c r="J19" s="41">
        <v>27304.299847792998</v>
      </c>
      <c r="K19" s="41">
        <v>37855.8599695586</v>
      </c>
      <c r="L19" s="41">
        <v>38558.21917808219</v>
      </c>
      <c r="M19" s="41">
        <v>44991.28614916286</v>
      </c>
      <c r="N19" s="41">
        <v>49945.20547945205</v>
      </c>
      <c r="O19" s="41">
        <v>58206.39269406392</v>
      </c>
      <c r="P19" s="63">
        <f>SUM(D19:O19)</f>
        <v>458053.59589041094</v>
      </c>
    </row>
    <row r="20" spans="1:17" ht="12.75">
      <c r="A20" s="38">
        <f t="shared" si="0"/>
        <v>16</v>
      </c>
      <c r="B20" s="60" t="s">
        <v>71</v>
      </c>
      <c r="C20" s="58"/>
      <c r="D20" s="41">
        <v>234500</v>
      </c>
      <c r="E20" s="41">
        <v>234500</v>
      </c>
      <c r="F20" s="41">
        <v>234500</v>
      </c>
      <c r="G20" s="41">
        <v>234500</v>
      </c>
      <c r="H20" s="41">
        <v>234500</v>
      </c>
      <c r="I20" s="41">
        <v>234500</v>
      </c>
      <c r="J20" s="41">
        <v>234500</v>
      </c>
      <c r="K20" s="41">
        <v>234500</v>
      </c>
      <c r="L20" s="41">
        <v>234500</v>
      </c>
      <c r="M20" s="41">
        <v>234500</v>
      </c>
      <c r="N20" s="41">
        <v>234500</v>
      </c>
      <c r="O20" s="41">
        <v>234500</v>
      </c>
      <c r="P20" s="64">
        <f>SUM(D20:O20)</f>
        <v>2814000</v>
      </c>
      <c r="Q20" s="77"/>
    </row>
    <row r="21" spans="1:16" ht="12.75">
      <c r="A21" s="38">
        <f t="shared" si="0"/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63">
        <f>SUM(P19:P20)</f>
        <v>3272053.595890411</v>
      </c>
    </row>
    <row r="22" spans="1:16" ht="12.75">
      <c r="A22" s="38">
        <f t="shared" si="0"/>
        <v>18</v>
      </c>
      <c r="B22" s="52"/>
      <c r="C22" s="51"/>
      <c r="D22" s="51"/>
      <c r="E22" s="51"/>
      <c r="F22" s="51"/>
      <c r="G22" s="51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2.75">
      <c r="A23" s="38">
        <f t="shared" si="0"/>
        <v>19</v>
      </c>
      <c r="O23" s="66" t="s">
        <v>72</v>
      </c>
      <c r="P23" s="63">
        <f>+P21+P13</f>
        <v>7804240.261862633</v>
      </c>
    </row>
    <row r="24" spans="1:16" ht="12.75">
      <c r="A24" s="38">
        <f t="shared" si="0"/>
        <v>20</v>
      </c>
      <c r="O24" s="66" t="s">
        <v>73</v>
      </c>
      <c r="P24" s="63">
        <f>+P8*1000</f>
        <v>171101042</v>
      </c>
    </row>
    <row r="25" spans="1:16" ht="12.75">
      <c r="A25" s="38">
        <f t="shared" si="0"/>
        <v>21</v>
      </c>
      <c r="O25" s="66" t="s">
        <v>74</v>
      </c>
      <c r="P25" s="49">
        <f>+P23/P24</f>
        <v>0.04561188038739491</v>
      </c>
    </row>
    <row r="26" spans="1:13" ht="13.5" customHeight="1">
      <c r="A26" s="38"/>
      <c r="B26" s="53"/>
      <c r="C26" s="51"/>
      <c r="D26" s="51"/>
      <c r="E26" s="51"/>
      <c r="F26" s="51"/>
      <c r="G26" s="51"/>
      <c r="H26" s="34"/>
      <c r="I26" s="34"/>
      <c r="J26" s="34"/>
      <c r="K26" s="34"/>
      <c r="L26" s="34"/>
      <c r="M26" s="34"/>
    </row>
    <row r="27" spans="1:16" ht="15.75">
      <c r="A27" s="38"/>
      <c r="B27" s="42" t="s">
        <v>79</v>
      </c>
      <c r="C27" s="34"/>
      <c r="D27" s="49"/>
      <c r="E27" s="49"/>
      <c r="F27" s="34"/>
      <c r="G27" s="34"/>
      <c r="H27" s="34"/>
      <c r="I27" s="34"/>
      <c r="J27" s="34"/>
      <c r="K27" s="34"/>
      <c r="L27" s="34"/>
      <c r="N27" s="54"/>
      <c r="O27" s="54"/>
      <c r="P27" s="54"/>
    </row>
    <row r="28" spans="1:16" ht="15.75">
      <c r="A28" s="55"/>
      <c r="N28" s="142"/>
      <c r="O28" s="142"/>
      <c r="P28" s="142"/>
    </row>
  </sheetData>
  <mergeCells count="4">
    <mergeCell ref="N28:P28"/>
    <mergeCell ref="A1:P1"/>
    <mergeCell ref="A2:P2"/>
    <mergeCell ref="A3:P3"/>
  </mergeCells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&amp;RExhibit No. ____ (MTT-2)</oddHeader>
    <oddFooter>&amp;R&amp;8Page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rzk7kq</cp:lastModifiedBy>
  <cp:lastPrinted>2009-01-19T17:14:52Z</cp:lastPrinted>
  <dcterms:created xsi:type="dcterms:W3CDTF">2007-10-17T17:14:21Z</dcterms:created>
  <dcterms:modified xsi:type="dcterms:W3CDTF">2009-01-19T17:57:53Z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