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7\2017_ WA Elec and Gas GRC\Rebuttal Testimony &amp; Exhibits\Schuh\"/>
    </mc:Choice>
  </mc:AlternateContent>
  <bookViews>
    <workbookView xWindow="0" yWindow="0" windowWidth="24000" windowHeight="9285"/>
  </bookViews>
  <sheets>
    <sheet name="Rebuttal Tables" sheetId="1" r:id="rId1"/>
    <sheet name="Offsets Table" sheetId="2" r:id="rId2"/>
  </sheets>
  <externalReferences>
    <externalReference r:id="rId3"/>
    <externalReference r:id="rId4"/>
  </externalReferences>
  <definedNames>
    <definedName name="Allocation_Categories">OFFSET('[1]Allocation Factors'!$A$4,0,0,COUNTA('[1]Allocation Factors'!$A:$A)-COUNTA('[1]Allocation Factors'!$A$1:$A$3),1)</definedName>
    <definedName name="BusCaseList_cbo1">#REF!</definedName>
    <definedName name="BusCaseList_cbo2" localSheetId="0">BusCaseList_cbo1</definedName>
    <definedName name="BusCaseList_cbo2">BusCaseList_cbo1</definedName>
    <definedName name="_xlnm.Print_Area" localSheetId="0">'Rebuttal Tables'!$A$1:$G$103</definedName>
    <definedName name="TableName">"Dummy"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/>
  <c r="D86" i="1" l="1"/>
  <c r="D85" i="1"/>
  <c r="D84" i="1"/>
  <c r="D83" i="1"/>
  <c r="D82" i="1"/>
  <c r="D81" i="1"/>
  <c r="D80" i="1"/>
  <c r="D58" i="1"/>
  <c r="D57" i="1"/>
  <c r="D56" i="1"/>
  <c r="D55" i="1"/>
  <c r="D54" i="1"/>
  <c r="D53" i="1"/>
  <c r="D50" i="1"/>
  <c r="D49" i="1"/>
  <c r="D48" i="1"/>
  <c r="D45" i="1"/>
  <c r="D38" i="1"/>
  <c r="D37" i="1"/>
  <c r="D36" i="1"/>
  <c r="D35" i="1"/>
  <c r="D34" i="1"/>
  <c r="D33" i="1"/>
  <c r="D76" i="1"/>
  <c r="D75" i="1"/>
  <c r="D95" i="1" s="1"/>
  <c r="D74" i="1"/>
  <c r="D94" i="1" s="1"/>
  <c r="D73" i="1"/>
  <c r="D93" i="1" s="1"/>
  <c r="D72" i="1"/>
  <c r="D71" i="1"/>
  <c r="D91" i="1" s="1"/>
  <c r="D70" i="1"/>
  <c r="D90" i="1" s="1"/>
  <c r="D29" i="1"/>
  <c r="D28" i="1"/>
  <c r="D27" i="1"/>
  <c r="D26" i="1"/>
  <c r="D23" i="1"/>
  <c r="D22" i="1"/>
  <c r="D21" i="1"/>
  <c r="D20" i="1"/>
  <c r="D19" i="1"/>
  <c r="D18" i="1"/>
  <c r="D10" i="1"/>
  <c r="D9" i="1"/>
  <c r="D8" i="1"/>
  <c r="D7" i="1"/>
  <c r="D6" i="1"/>
  <c r="D5" i="1"/>
  <c r="D4" i="1"/>
  <c r="D3" i="1"/>
  <c r="D92" i="1" l="1"/>
  <c r="D96" i="1"/>
  <c r="E87" i="1"/>
  <c r="B86" i="1"/>
  <c r="B85" i="1"/>
  <c r="B84" i="1"/>
  <c r="B83" i="1"/>
  <c r="B82" i="1"/>
  <c r="B81" i="1"/>
  <c r="D87" i="1"/>
  <c r="B80" i="1"/>
  <c r="B76" i="1"/>
  <c r="B75" i="1"/>
  <c r="B74" i="1"/>
  <c r="B73" i="1"/>
  <c r="B72" i="1"/>
  <c r="B71" i="1"/>
  <c r="B70" i="1"/>
  <c r="D51" i="1"/>
  <c r="E51" i="1"/>
  <c r="E30" i="1"/>
  <c r="D30" i="1"/>
  <c r="E24" i="1"/>
  <c r="B10" i="1"/>
  <c r="B9" i="1"/>
  <c r="B8" i="1"/>
  <c r="B7" i="1"/>
  <c r="B6" i="1"/>
  <c r="B5" i="1"/>
  <c r="B4" i="1"/>
  <c r="B3" i="1"/>
  <c r="E11" i="1" l="1"/>
  <c r="D24" i="1"/>
  <c r="D41" i="1" s="1"/>
  <c r="D39" i="1"/>
  <c r="D59" i="1"/>
  <c r="E39" i="1"/>
  <c r="E41" i="1" s="1"/>
  <c r="E59" i="1"/>
  <c r="E61" i="1" s="1"/>
  <c r="E63" i="1" l="1"/>
  <c r="D61" i="1"/>
  <c r="D63" i="1" s="1"/>
  <c r="D11" i="1"/>
  <c r="D97" i="1"/>
  <c r="E77" i="1"/>
  <c r="D77" i="1"/>
  <c r="D101" i="1" l="1"/>
  <c r="E97" i="1"/>
  <c r="E101" i="1" s="1"/>
</calcChain>
</file>

<file path=xl/sharedStrings.xml><?xml version="1.0" encoding="utf-8"?>
<sst xmlns="http://schemas.openxmlformats.org/spreadsheetml/2006/main" count="225" uniqueCount="143">
  <si>
    <t>Testimony Ref. - SJK-1T</t>
  </si>
  <si>
    <t>Colstrip Capital Additions</t>
  </si>
  <si>
    <t>pg. 1, 100-102</t>
  </si>
  <si>
    <t>pg. 13, 25</t>
  </si>
  <si>
    <t>Base Load Thermal</t>
  </si>
  <si>
    <t>pg. 1, 91-94</t>
  </si>
  <si>
    <t>pg. 13, 23-24</t>
  </si>
  <si>
    <t>Kettle Falls Stator Rewind</t>
  </si>
  <si>
    <t>pg. 1, 27-32</t>
  </si>
  <si>
    <t>pg. 13, 17</t>
  </si>
  <si>
    <t>Purchase Certified Rebuilt Cat D10R Dozer</t>
  </si>
  <si>
    <t>pg. 1, 73-77</t>
  </si>
  <si>
    <t>pg. 13, 22</t>
  </si>
  <si>
    <t>Nine Mile Redevelopment</t>
  </si>
  <si>
    <t>pg. 1, 55-58</t>
  </si>
  <si>
    <t>pg. 13, 19</t>
  </si>
  <si>
    <t>Regulating Hydro</t>
  </si>
  <si>
    <t>pg. 1, 95-99</t>
  </si>
  <si>
    <t>pg. 13, 24</t>
  </si>
  <si>
    <t>Little Falls Powerhouse Redevelopment</t>
  </si>
  <si>
    <t>pg. 1, 39-43</t>
  </si>
  <si>
    <t>pg. 13, 14</t>
  </si>
  <si>
    <t>Noxon Station Service</t>
  </si>
  <si>
    <t>pg. 1, 59-63</t>
  </si>
  <si>
    <t>pg. 13, 20</t>
  </si>
  <si>
    <t>Business Case Ref. - HLR-6</t>
  </si>
  <si>
    <t>Testimony Ref. - HLR-1T</t>
  </si>
  <si>
    <t xml:space="preserve">WA Electric </t>
  </si>
  <si>
    <t xml:space="preserve">Transmission </t>
  </si>
  <si>
    <t>Electric Transmission Plant-Storm</t>
  </si>
  <si>
    <t>pg. 2, 111-114</t>
  </si>
  <si>
    <t>pg. 32, 35</t>
  </si>
  <si>
    <t>Transmission Minor Rebuild</t>
  </si>
  <si>
    <t>pg. 2, 101-103</t>
  </si>
  <si>
    <t>pg. 32-34</t>
  </si>
  <si>
    <t>Substation Asset Mgmt Capital Maintenance</t>
  </si>
  <si>
    <t>pg. 2, 93-97</t>
  </si>
  <si>
    <t>pg. 32-33</t>
  </si>
  <si>
    <t>System Transmission:Rebuild Condition</t>
  </si>
  <si>
    <t>pg. 2, 104-106</t>
  </si>
  <si>
    <t>Benton-Othello 115 Recond</t>
  </si>
  <si>
    <t>pg. 2, 132-134</t>
  </si>
  <si>
    <t>pg. 32, 36-37</t>
  </si>
  <si>
    <t xml:space="preserve">Devils Gap-Lind 115kV Transmission Rebuild </t>
  </si>
  <si>
    <t>pg. 2, 141-143</t>
  </si>
  <si>
    <t>pg. 32, 38</t>
  </si>
  <si>
    <t xml:space="preserve">Distribution </t>
  </si>
  <si>
    <t>Electric Distribution Minor Blanket</t>
  </si>
  <si>
    <t>pg. 1, 49-54</t>
  </si>
  <si>
    <t>pg. 13, 20-21</t>
  </si>
  <si>
    <t>Wood Pole Mgmt</t>
  </si>
  <si>
    <t>pg. 1, 21-28</t>
  </si>
  <si>
    <t>pg. 13, 15-16</t>
  </si>
  <si>
    <t>Substation Rebuilds</t>
  </si>
  <si>
    <t>pg. 1, 43-48</t>
  </si>
  <si>
    <t>Dist Grid Modernization</t>
  </si>
  <si>
    <t>pg. 1, 5-12</t>
  </si>
  <si>
    <t>pg. 13, 15</t>
  </si>
  <si>
    <t>General/Software/Transportation</t>
  </si>
  <si>
    <t>Transportation Equip</t>
  </si>
  <si>
    <t>pg. 4, 376-389</t>
  </si>
  <si>
    <t>pg. 52, 59</t>
  </si>
  <si>
    <t>Structures &amp; Improv</t>
  </si>
  <si>
    <t>pg. 4, 290-296</t>
  </si>
  <si>
    <t>pg. 52, 55-56</t>
  </si>
  <si>
    <t>Tools Lab &amp; Shop Equipment</t>
  </si>
  <si>
    <t>pg. 4, 297-303</t>
  </si>
  <si>
    <t>pg. 52, 56</t>
  </si>
  <si>
    <t>Long term Campus Re-Structuring Plan</t>
  </si>
  <si>
    <t>pg. 4, 244-257</t>
  </si>
  <si>
    <t>pg. 52-54</t>
  </si>
  <si>
    <t>COF Long Term Restructuring Plan Phase 2</t>
  </si>
  <si>
    <t>pg. 4, 307-326</t>
  </si>
  <si>
    <t>pg. 52-53</t>
  </si>
  <si>
    <t>Downtown Campus</t>
  </si>
  <si>
    <t>pg. 1, 55-59</t>
  </si>
  <si>
    <t>pg. 13, 21, 52-53</t>
  </si>
  <si>
    <t>WA Natural Gas</t>
  </si>
  <si>
    <t xml:space="preserve">Underground Storage </t>
  </si>
  <si>
    <t>Jackson Prairie Storage</t>
  </si>
  <si>
    <t>pg. 4, 390-392</t>
  </si>
  <si>
    <t>pg. 59</t>
  </si>
  <si>
    <t xml:space="preserve">Natural Gas Distribution </t>
  </si>
  <si>
    <t>Gas Distribution Non-Revenue Blanket</t>
  </si>
  <si>
    <t>pg. 3, 185-189</t>
  </si>
  <si>
    <t>pg. 42-43</t>
  </si>
  <si>
    <t>Aldyl -A Pipe Replacement</t>
  </si>
  <si>
    <t>pg. 3, 192-198</t>
  </si>
  <si>
    <t>US2 N Spo Gas HP Reinforce(Kaiser Prop)</t>
  </si>
  <si>
    <t>pg. 3, 222-227</t>
  </si>
  <si>
    <t>pg. 42, 47-48</t>
  </si>
  <si>
    <t xml:space="preserve">General </t>
  </si>
  <si>
    <t>Dollar Rd Service Center Addition and Remodel</t>
  </si>
  <si>
    <t>pg. 4, 258-268</t>
  </si>
  <si>
    <t>pg. 52, 54</t>
  </si>
  <si>
    <t>Business Case Name - 7 Projects</t>
  </si>
  <si>
    <t>Business Case Ref. - JMK-2</t>
  </si>
  <si>
    <t>Testimony Ref. - JMK-1T</t>
  </si>
  <si>
    <t>Information Technology Refresh Program</t>
  </si>
  <si>
    <t>pg. 1, 10-14</t>
  </si>
  <si>
    <t>pg. 11-12</t>
  </si>
  <si>
    <t>Information Technology Expansion Program</t>
  </si>
  <si>
    <t>pg. 1, 38-42</t>
  </si>
  <si>
    <t>Security Systems</t>
  </si>
  <si>
    <t>pg. 1, 34-37</t>
  </si>
  <si>
    <t>pg. 11, 15-16</t>
  </si>
  <si>
    <t>Microwave Replacement with Fiber</t>
  </si>
  <si>
    <t>pg. 1-5</t>
  </si>
  <si>
    <t>AU.com &amp; AVANet Redevelopment</t>
  </si>
  <si>
    <t>pg. 1, 15-20</t>
  </si>
  <si>
    <t>pg. 11, 13</t>
  </si>
  <si>
    <t>Project Atlas</t>
  </si>
  <si>
    <t>pg. 1, 6-9</t>
  </si>
  <si>
    <t>Customer Facing Technology</t>
  </si>
  <si>
    <t>pg. 1, 21-23</t>
  </si>
  <si>
    <t>pg. 11, 13-14</t>
  </si>
  <si>
    <t>pg. 1, 2-5</t>
  </si>
  <si>
    <t>Total WA</t>
  </si>
  <si>
    <t>*</t>
  </si>
  <si>
    <t xml:space="preserve">* Staff included and audited these projects </t>
  </si>
  <si>
    <t>Total Project Amount, As Filed, for 2017</t>
  </si>
  <si>
    <t>ER</t>
  </si>
  <si>
    <t xml:space="preserve">Business Case Name </t>
  </si>
  <si>
    <t>Business Case Name</t>
  </si>
  <si>
    <t>Business Case Ref. - SJK-4</t>
  </si>
  <si>
    <t>Total - Electric Service (Rosentrater)</t>
  </si>
  <si>
    <t>Total - Natural Gas Service (Rosentrater)</t>
  </si>
  <si>
    <t>Grand Total (Rosentrater)</t>
  </si>
  <si>
    <t>Total - Electric Service (Kensok)</t>
  </si>
  <si>
    <t>Total - Natural Gas Service (Kensok)</t>
  </si>
  <si>
    <t>Grand Total (All Capital Witnesses)</t>
  </si>
  <si>
    <t>Total (Kensok)</t>
  </si>
  <si>
    <t>Total (Kinney)</t>
  </si>
  <si>
    <t>Electric</t>
  </si>
  <si>
    <t>Natural Gas</t>
  </si>
  <si>
    <t>Total</t>
  </si>
  <si>
    <t>System Transmission Rebuild Condition</t>
  </si>
  <si>
    <t>Benton-Othello 115kv Reconductor</t>
  </si>
  <si>
    <t>Wood Pole Management</t>
  </si>
  <si>
    <t>Street Light Conversion to LED Fixtures</t>
  </si>
  <si>
    <t>Downtown Network New Warehouse/Operations Building</t>
  </si>
  <si>
    <t>Information Technology Refresh</t>
  </si>
  <si>
    <t>Rebuttal Case Actual Transfers Through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</si>
</sst>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164" fontId="3" fillId="0" borderId="0" xfId="2" applyNumberFormat="1" applyFont="1" applyFill="1"/>
    <xf numFmtId="164" fontId="3" fillId="0" borderId="0" xfId="2" applyNumberFormat="1" applyFont="1"/>
    <xf numFmtId="165" fontId="3" fillId="0" borderId="0" xfId="1" applyNumberFormat="1" applyFont="1"/>
    <xf numFmtId="165" fontId="3" fillId="0" borderId="0" xfId="1" applyNumberFormat="1" applyFont="1" applyFill="1"/>
    <xf numFmtId="164" fontId="2" fillId="0" borderId="2" xfId="2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wrapText="1"/>
    </xf>
    <xf numFmtId="164" fontId="2" fillId="0" borderId="3" xfId="2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/>
    <xf numFmtId="165" fontId="2" fillId="0" borderId="0" xfId="1" applyNumberFormat="1" applyFont="1"/>
    <xf numFmtId="41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NumberFormat="1" applyFont="1"/>
    <xf numFmtId="164" fontId="5" fillId="0" borderId="0" xfId="2" applyNumberFormat="1" applyFont="1" applyFill="1"/>
    <xf numFmtId="164" fontId="5" fillId="0" borderId="0" xfId="2" applyNumberFormat="1" applyFont="1"/>
    <xf numFmtId="165" fontId="5" fillId="0" borderId="0" xfId="1" applyNumberFormat="1" applyFont="1"/>
    <xf numFmtId="165" fontId="5" fillId="0" borderId="0" xfId="1" applyNumberFormat="1" applyFont="1" applyFill="1"/>
    <xf numFmtId="164" fontId="4" fillId="0" borderId="2" xfId="2" applyNumberFormat="1" applyFont="1" applyBorder="1"/>
    <xf numFmtId="165" fontId="4" fillId="0" borderId="0" xfId="0" applyNumberFormat="1" applyFont="1" applyBorder="1"/>
    <xf numFmtId="164" fontId="2" fillId="0" borderId="2" xfId="2" applyNumberFormat="1" applyFont="1" applyFill="1" applyBorder="1"/>
    <xf numFmtId="164" fontId="2" fillId="0" borderId="0" xfId="2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5" fillId="0" borderId="0" xfId="0" applyFont="1" applyBorder="1"/>
    <xf numFmtId="0" fontId="5" fillId="0" borderId="0" xfId="0" applyNumberFormat="1" applyFont="1" applyBorder="1"/>
    <xf numFmtId="164" fontId="5" fillId="0" borderId="0" xfId="2" applyNumberFormat="1" applyFont="1" applyFill="1" applyBorder="1"/>
    <xf numFmtId="164" fontId="5" fillId="0" borderId="0" xfId="2" applyNumberFormat="1" applyFont="1" applyBorder="1"/>
    <xf numFmtId="164" fontId="4" fillId="0" borderId="0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HADO/1.%20Capital/Unified%20Model/2017/Unified%20Model%20-%202017%20-%2007.06.2017%20-%20Q3%202017%20update%20(v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ren's\GRC's\02-WA%20GRC\2017\Rebuttal\Functional%20Method%20Thru%20Nov\Old\Threshold%20and%20Functional%20Groups%20-Thru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Expected Transfers"/>
      <sheetName val="CAP17.3"/>
      <sheetName val="Adjustments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uttal Tables"/>
      <sheetName val="Threshold Projects WA E "/>
      <sheetName val="Threshold Projects WA G"/>
      <sheetName val="Threshold Calculation"/>
      <sheetName val="WA E - Thermal"/>
      <sheetName val="WA E - Hydro"/>
      <sheetName val="WA E - Other Production"/>
      <sheetName val="WA E - Transmission"/>
      <sheetName val="WA E - Distribution"/>
      <sheetName val="WA E - General -Software-Transp"/>
      <sheetName val="Actl Forcst - WA E"/>
      <sheetName val="WA G - Underground Storage"/>
      <sheetName val="WA G - Natural Gas Distribution"/>
      <sheetName val="WA G General -Soft-Trans"/>
      <sheetName val="Actl Forcst - WA G"/>
    </sheetNames>
    <sheetDataSet>
      <sheetData sheetId="0"/>
      <sheetData sheetId="1">
        <row r="6">
          <cell r="A6">
            <v>4116</v>
          </cell>
        </row>
        <row r="7">
          <cell r="A7">
            <v>4149</v>
          </cell>
        </row>
        <row r="8">
          <cell r="A8">
            <v>4172</v>
          </cell>
        </row>
        <row r="9">
          <cell r="A9">
            <v>4182</v>
          </cell>
        </row>
        <row r="10">
          <cell r="A10">
            <v>4140</v>
          </cell>
        </row>
        <row r="11">
          <cell r="A11">
            <v>4148</v>
          </cell>
        </row>
        <row r="12">
          <cell r="A12">
            <v>4152</v>
          </cell>
        </row>
        <row r="13">
          <cell r="A13">
            <v>4171</v>
          </cell>
        </row>
        <row r="36">
          <cell r="A36">
            <v>5005</v>
          </cell>
        </row>
        <row r="38">
          <cell r="A38">
            <v>5006</v>
          </cell>
        </row>
        <row r="40">
          <cell r="A40">
            <v>5014</v>
          </cell>
        </row>
        <row r="41">
          <cell r="A41">
            <v>5121</v>
          </cell>
        </row>
        <row r="42">
          <cell r="A42">
            <v>5143</v>
          </cell>
        </row>
        <row r="43">
          <cell r="A43">
            <v>5147</v>
          </cell>
        </row>
        <row r="44">
          <cell r="A44">
            <v>5151</v>
          </cell>
        </row>
      </sheetData>
      <sheetData sheetId="2">
        <row r="15">
          <cell r="A15">
            <v>5005</v>
          </cell>
        </row>
        <row r="17">
          <cell r="A17">
            <v>5006</v>
          </cell>
        </row>
        <row r="19">
          <cell r="A19">
            <v>5014</v>
          </cell>
        </row>
        <row r="20">
          <cell r="A20">
            <v>5121</v>
          </cell>
        </row>
        <row r="21">
          <cell r="A21">
            <v>5143</v>
          </cell>
        </row>
        <row r="22">
          <cell r="A22">
            <v>5147</v>
          </cell>
        </row>
        <row r="23">
          <cell r="A23">
            <v>5151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GridLines="0" tabSelected="1" view="pageBreakPreview" zoomScale="60" zoomScaleNormal="100" workbookViewId="0">
      <selection activeCell="C103" sqref="C103"/>
    </sheetView>
  </sheetViews>
  <sheetFormatPr defaultColWidth="9.140625" defaultRowHeight="15.75" outlineLevelRow="1" x14ac:dyDescent="0.25"/>
  <cols>
    <col min="1" max="1" width="2.85546875" style="4" customWidth="1"/>
    <col min="2" max="2" width="6.7109375" style="4" customWidth="1"/>
    <col min="3" max="3" width="43.42578125" style="4" customWidth="1"/>
    <col min="4" max="4" width="14.7109375" style="4" customWidth="1"/>
    <col min="5" max="5" width="17.5703125" style="4" customWidth="1"/>
    <col min="6" max="6" width="16" style="4" customWidth="1"/>
    <col min="7" max="7" width="16.42578125" style="4" customWidth="1"/>
    <col min="8" max="16384" width="9.140625" style="4"/>
  </cols>
  <sheetData>
    <row r="1" spans="1:7" ht="56.25" customHeight="1" x14ac:dyDescent="0.25">
      <c r="A1" s="1"/>
      <c r="B1" s="27" t="s">
        <v>121</v>
      </c>
      <c r="C1" s="28" t="s">
        <v>123</v>
      </c>
      <c r="D1" s="29" t="s">
        <v>120</v>
      </c>
      <c r="E1" s="2" t="s">
        <v>142</v>
      </c>
      <c r="F1" s="29" t="s">
        <v>124</v>
      </c>
      <c r="G1" s="29" t="s">
        <v>0</v>
      </c>
    </row>
    <row r="2" spans="1:7" x14ac:dyDescent="0.25">
      <c r="B2" s="30"/>
      <c r="C2" s="30"/>
      <c r="D2" s="30"/>
      <c r="E2" s="30"/>
      <c r="F2" s="30"/>
      <c r="G2" s="30"/>
    </row>
    <row r="3" spans="1:7" x14ac:dyDescent="0.25">
      <c r="B3" s="31">
        <f>'[2]Threshold Projects WA E '!A6</f>
        <v>4116</v>
      </c>
      <c r="C3" s="30" t="s">
        <v>1</v>
      </c>
      <c r="D3" s="32">
        <f>6244350/1000</f>
        <v>6244.35</v>
      </c>
      <c r="E3" s="33">
        <v>3679.2694010930004</v>
      </c>
      <c r="F3" s="34" t="s">
        <v>2</v>
      </c>
      <c r="G3" s="30" t="s">
        <v>3</v>
      </c>
    </row>
    <row r="4" spans="1:7" x14ac:dyDescent="0.25">
      <c r="B4" s="31">
        <f>'[2]Threshold Projects WA E '!A7</f>
        <v>4149</v>
      </c>
      <c r="C4" s="30" t="s">
        <v>4</v>
      </c>
      <c r="D4" s="35">
        <f>1639448.288541/1000</f>
        <v>1639.448288541</v>
      </c>
      <c r="E4" s="34">
        <v>1506.6768896470001</v>
      </c>
      <c r="F4" s="34" t="s">
        <v>5</v>
      </c>
      <c r="G4" s="30" t="s">
        <v>6</v>
      </c>
    </row>
    <row r="5" spans="1:7" x14ac:dyDescent="0.25">
      <c r="B5" s="31">
        <f>'[2]Threshold Projects WA E '!A8</f>
        <v>4172</v>
      </c>
      <c r="C5" s="30" t="s">
        <v>7</v>
      </c>
      <c r="D5" s="35">
        <f>4151574.561057/1000</f>
        <v>4151.5745610570002</v>
      </c>
      <c r="E5" s="34">
        <v>2557.274658288</v>
      </c>
      <c r="F5" s="34" t="s">
        <v>8</v>
      </c>
      <c r="G5" s="30" t="s">
        <v>9</v>
      </c>
    </row>
    <row r="6" spans="1:7" x14ac:dyDescent="0.25">
      <c r="B6" s="31">
        <f>'[2]Threshold Projects WA E '!A9</f>
        <v>4182</v>
      </c>
      <c r="C6" s="30" t="s">
        <v>10</v>
      </c>
      <c r="D6" s="35">
        <f>535262.960778/1000</f>
        <v>535.26296077799998</v>
      </c>
      <c r="E6" s="34">
        <v>478.21279789500005</v>
      </c>
      <c r="F6" s="34" t="s">
        <v>11</v>
      </c>
      <c r="G6" s="30" t="s">
        <v>12</v>
      </c>
    </row>
    <row r="7" spans="1:7" x14ac:dyDescent="0.25">
      <c r="B7" s="31">
        <f>'[2]Threshold Projects WA E '!A10</f>
        <v>4140</v>
      </c>
      <c r="C7" s="30" t="s">
        <v>13</v>
      </c>
      <c r="D7" s="35">
        <f>6261768.108204/1000</f>
        <v>6261.7681082039999</v>
      </c>
      <c r="E7" s="34">
        <v>408.400911898</v>
      </c>
      <c r="F7" s="34" t="s">
        <v>14</v>
      </c>
      <c r="G7" s="30" t="s">
        <v>15</v>
      </c>
    </row>
    <row r="8" spans="1:7" x14ac:dyDescent="0.25">
      <c r="B8" s="31">
        <f>'[2]Threshold Projects WA E '!A11</f>
        <v>4148</v>
      </c>
      <c r="C8" s="30" t="s">
        <v>16</v>
      </c>
      <c r="D8" s="35">
        <f>4029866.862/1000</f>
        <v>4029.8668620000003</v>
      </c>
      <c r="E8" s="34">
        <v>2489.3871236219998</v>
      </c>
      <c r="F8" s="34" t="s">
        <v>17</v>
      </c>
      <c r="G8" s="30" t="s">
        <v>18</v>
      </c>
    </row>
    <row r="9" spans="1:7" x14ac:dyDescent="0.25">
      <c r="B9" s="31">
        <f>'[2]Threshold Projects WA E '!A12</f>
        <v>4152</v>
      </c>
      <c r="C9" s="30" t="s">
        <v>19</v>
      </c>
      <c r="D9" s="35">
        <f>6889112.285139/1000</f>
        <v>6889.1122851390001</v>
      </c>
      <c r="E9" s="34">
        <v>6721.3128321690001</v>
      </c>
      <c r="F9" s="34" t="s">
        <v>20</v>
      </c>
      <c r="G9" s="30" t="s">
        <v>21</v>
      </c>
    </row>
    <row r="10" spans="1:7" x14ac:dyDescent="0.25">
      <c r="B10" s="31">
        <f>'[2]Threshold Projects WA E '!A13</f>
        <v>4171</v>
      </c>
      <c r="C10" s="30" t="s">
        <v>22</v>
      </c>
      <c r="D10" s="35">
        <f>1645244.9055/1000</f>
        <v>1645.2449055000002</v>
      </c>
      <c r="E10" s="34">
        <v>1709.2701823080001</v>
      </c>
      <c r="F10" s="34" t="s">
        <v>23</v>
      </c>
      <c r="G10" s="30" t="s">
        <v>24</v>
      </c>
    </row>
    <row r="11" spans="1:7" ht="16.5" thickBot="1" x14ac:dyDescent="0.3">
      <c r="B11" s="40" t="s">
        <v>132</v>
      </c>
      <c r="C11" s="30"/>
      <c r="D11" s="36">
        <f>SUM(D3:D10)</f>
        <v>31396.627971218997</v>
      </c>
      <c r="E11" s="36">
        <f>SUM(E3:E10)</f>
        <v>19549.804796919998</v>
      </c>
      <c r="F11" s="37"/>
      <c r="G11" s="30"/>
    </row>
    <row r="13" spans="1:7" x14ac:dyDescent="0.25">
      <c r="D13" s="12"/>
      <c r="E13" s="12"/>
      <c r="F13" s="13"/>
      <c r="G13" s="14"/>
    </row>
    <row r="14" spans="1:7" ht="48.75" customHeight="1" x14ac:dyDescent="0.25">
      <c r="A14" s="1"/>
      <c r="B14" s="3" t="s">
        <v>121</v>
      </c>
      <c r="C14" s="1" t="s">
        <v>122</v>
      </c>
      <c r="D14" s="2" t="s">
        <v>120</v>
      </c>
      <c r="E14" s="2" t="s">
        <v>142</v>
      </c>
      <c r="F14" s="2" t="s">
        <v>25</v>
      </c>
      <c r="G14" s="2" t="s">
        <v>26</v>
      </c>
    </row>
    <row r="15" spans="1:7" x14ac:dyDescent="0.25">
      <c r="A15" s="14"/>
      <c r="C15" s="15"/>
      <c r="D15" s="12"/>
      <c r="E15" s="12"/>
      <c r="F15" s="16"/>
      <c r="G15" s="16"/>
    </row>
    <row r="16" spans="1:7" x14ac:dyDescent="0.25">
      <c r="A16" s="14" t="s">
        <v>27</v>
      </c>
      <c r="C16" s="15"/>
      <c r="D16" s="12"/>
      <c r="E16" s="12"/>
      <c r="F16" s="12"/>
      <c r="G16" s="12"/>
    </row>
    <row r="17" spans="1:9" x14ac:dyDescent="0.25">
      <c r="B17" s="17" t="s">
        <v>28</v>
      </c>
      <c r="D17" s="18"/>
    </row>
    <row r="18" spans="1:9" x14ac:dyDescent="0.25">
      <c r="B18" s="5">
        <v>2051</v>
      </c>
      <c r="C18" s="4" t="s">
        <v>29</v>
      </c>
      <c r="D18" s="6">
        <f>697329.57/1000</f>
        <v>697.32956999999999</v>
      </c>
      <c r="E18" s="7">
        <v>2284.162235838</v>
      </c>
      <c r="F18" s="8" t="s">
        <v>30</v>
      </c>
      <c r="G18" s="4" t="s">
        <v>31</v>
      </c>
      <c r="I18"/>
    </row>
    <row r="19" spans="1:9" x14ac:dyDescent="0.25">
      <c r="B19" s="5">
        <v>2057</v>
      </c>
      <c r="C19" s="4" t="s">
        <v>32</v>
      </c>
      <c r="D19" s="9">
        <f>3225313.64474177/1000</f>
        <v>3225.3136447417701</v>
      </c>
      <c r="E19" s="8">
        <v>2484.8081920789996</v>
      </c>
      <c r="F19" s="8" t="s">
        <v>33</v>
      </c>
      <c r="G19" s="4" t="s">
        <v>34</v>
      </c>
      <c r="I19"/>
    </row>
    <row r="20" spans="1:9" x14ac:dyDescent="0.25">
      <c r="B20" s="5">
        <v>2215</v>
      </c>
      <c r="C20" s="4" t="s">
        <v>35</v>
      </c>
      <c r="D20" s="9">
        <f>3997207.15898478/1000</f>
        <v>3997.2071589847797</v>
      </c>
      <c r="E20" s="8">
        <v>2413.6492652785005</v>
      </c>
      <c r="F20" s="8" t="s">
        <v>36</v>
      </c>
      <c r="G20" s="4" t="s">
        <v>37</v>
      </c>
      <c r="I20"/>
    </row>
    <row r="21" spans="1:9" x14ac:dyDescent="0.25">
      <c r="B21" s="5">
        <v>2423</v>
      </c>
      <c r="C21" s="4" t="s">
        <v>38</v>
      </c>
      <c r="D21" s="9">
        <f>3039255.36/1000</f>
        <v>3039.2553599999997</v>
      </c>
      <c r="E21" s="8">
        <v>3014.0469151799998</v>
      </c>
      <c r="F21" s="8" t="s">
        <v>39</v>
      </c>
      <c r="G21" s="4" t="s">
        <v>37</v>
      </c>
      <c r="I21"/>
    </row>
    <row r="22" spans="1:9" x14ac:dyDescent="0.25">
      <c r="B22" s="5">
        <v>2457</v>
      </c>
      <c r="C22" s="4" t="s">
        <v>40</v>
      </c>
      <c r="D22" s="9">
        <f>2629200/1000</f>
        <v>2629.2</v>
      </c>
      <c r="E22" s="8">
        <v>2176.9586171760002</v>
      </c>
      <c r="F22" s="8" t="s">
        <v>41</v>
      </c>
      <c r="G22" s="4" t="s">
        <v>42</v>
      </c>
      <c r="I22"/>
    </row>
    <row r="23" spans="1:9" x14ac:dyDescent="0.25">
      <c r="B23" s="5">
        <v>2564</v>
      </c>
      <c r="C23" s="19" t="s">
        <v>43</v>
      </c>
      <c r="D23" s="9">
        <f>3144841.9905/1000</f>
        <v>3144.8419905000001</v>
      </c>
      <c r="E23" s="8">
        <v>-229.69410943499992</v>
      </c>
      <c r="F23" s="8" t="s">
        <v>44</v>
      </c>
      <c r="G23" s="4" t="s">
        <v>45</v>
      </c>
      <c r="I23"/>
    </row>
    <row r="24" spans="1:9" ht="16.5" thickBot="1" x14ac:dyDescent="0.3">
      <c r="D24" s="10">
        <f>SUM(D18:D23)</f>
        <v>16733.14772422655</v>
      </c>
      <c r="E24" s="10">
        <f>SUM(E18:E23)</f>
        <v>12143.931116116501</v>
      </c>
      <c r="F24" s="11"/>
      <c r="I24"/>
    </row>
    <row r="25" spans="1:9" x14ac:dyDescent="0.25">
      <c r="B25" s="17" t="s">
        <v>46</v>
      </c>
      <c r="D25" s="18"/>
      <c r="I25"/>
    </row>
    <row r="26" spans="1:9" x14ac:dyDescent="0.25">
      <c r="B26" s="4">
        <v>2055</v>
      </c>
      <c r="C26" s="4" t="s">
        <v>47</v>
      </c>
      <c r="D26" s="9">
        <f>5971273.73197426/1000</f>
        <v>5971.27373197426</v>
      </c>
      <c r="E26" s="8">
        <v>5716.5515584929999</v>
      </c>
      <c r="F26" s="8" t="s">
        <v>48</v>
      </c>
      <c r="G26" s="4" t="s">
        <v>49</v>
      </c>
      <c r="I26"/>
    </row>
    <row r="27" spans="1:9" x14ac:dyDescent="0.25">
      <c r="B27" s="4">
        <v>2060</v>
      </c>
      <c r="C27" s="4" t="s">
        <v>50</v>
      </c>
      <c r="D27" s="9">
        <f>6960510/1000</f>
        <v>6960.51</v>
      </c>
      <c r="E27" s="8">
        <v>5593.7324100000005</v>
      </c>
      <c r="F27" s="8" t="s">
        <v>51</v>
      </c>
      <c r="G27" s="4" t="s">
        <v>52</v>
      </c>
      <c r="I27"/>
    </row>
    <row r="28" spans="1:9" x14ac:dyDescent="0.25">
      <c r="A28" s="4" t="s">
        <v>118</v>
      </c>
      <c r="B28" s="4">
        <v>2204</v>
      </c>
      <c r="C28" s="4" t="s">
        <v>53</v>
      </c>
      <c r="D28" s="9">
        <f>10413641.0735451/1000</f>
        <v>10413.641073545101</v>
      </c>
      <c r="E28" s="8">
        <v>1245.4182847980001</v>
      </c>
      <c r="F28" s="8" t="s">
        <v>54</v>
      </c>
      <c r="G28" s="4" t="s">
        <v>49</v>
      </c>
      <c r="I28"/>
    </row>
    <row r="29" spans="1:9" x14ac:dyDescent="0.25">
      <c r="A29" s="4" t="s">
        <v>118</v>
      </c>
      <c r="B29" s="4">
        <v>2470</v>
      </c>
      <c r="C29" s="4" t="s">
        <v>55</v>
      </c>
      <c r="D29" s="9">
        <f>9835159.12/1000</f>
        <v>9835.1591199999984</v>
      </c>
      <c r="E29" s="8">
        <v>9767.7844050619988</v>
      </c>
      <c r="F29" s="8" t="s">
        <v>56</v>
      </c>
      <c r="G29" s="4" t="s">
        <v>57</v>
      </c>
      <c r="I29"/>
    </row>
    <row r="30" spans="1:9" ht="16.5" thickBot="1" x14ac:dyDescent="0.3">
      <c r="D30" s="10">
        <f>SUM(D26:D29)</f>
        <v>33180.583925519357</v>
      </c>
      <c r="E30" s="10">
        <f>SUM(E26:E29)</f>
        <v>22323.486658353002</v>
      </c>
      <c r="F30" s="11"/>
      <c r="I30"/>
    </row>
    <row r="31" spans="1:9" x14ac:dyDescent="0.25">
      <c r="D31" s="20"/>
      <c r="E31" s="20"/>
      <c r="I31"/>
    </row>
    <row r="32" spans="1:9" x14ac:dyDescent="0.25">
      <c r="B32" s="17" t="s">
        <v>58</v>
      </c>
      <c r="D32" s="21"/>
      <c r="E32" s="22"/>
      <c r="I32"/>
    </row>
    <row r="33" spans="1:9" x14ac:dyDescent="0.25">
      <c r="B33" s="4">
        <v>7000</v>
      </c>
      <c r="C33" s="4" t="s">
        <v>59</v>
      </c>
      <c r="D33" s="9">
        <f>3845757.12398597/1000</f>
        <v>3845.7571239859699</v>
      </c>
      <c r="E33" s="8">
        <v>2959.4496181865388</v>
      </c>
      <c r="F33" s="8" t="s">
        <v>60</v>
      </c>
      <c r="G33" s="4" t="s">
        <v>61</v>
      </c>
      <c r="I33"/>
    </row>
    <row r="34" spans="1:9" x14ac:dyDescent="0.25">
      <c r="B34" s="4">
        <v>7001</v>
      </c>
      <c r="C34" s="4" t="s">
        <v>62</v>
      </c>
      <c r="D34" s="9">
        <f>1453231.53549478/1000</f>
        <v>1453.23153549478</v>
      </c>
      <c r="E34" s="8">
        <v>82.868845896961091</v>
      </c>
      <c r="F34" s="8" t="s">
        <v>63</v>
      </c>
      <c r="G34" s="4" t="s">
        <v>64</v>
      </c>
      <c r="I34"/>
    </row>
    <row r="35" spans="1:9" x14ac:dyDescent="0.25">
      <c r="B35" s="4">
        <v>7006</v>
      </c>
      <c r="C35" s="4" t="s">
        <v>65</v>
      </c>
      <c r="D35" s="9">
        <f>959805.297618578/1000</f>
        <v>959.80529761857792</v>
      </c>
      <c r="E35" s="8">
        <v>956.28183375489346</v>
      </c>
      <c r="F35" s="8" t="s">
        <v>66</v>
      </c>
      <c r="G35" s="4" t="s">
        <v>67</v>
      </c>
      <c r="I35"/>
    </row>
    <row r="36" spans="1:9" x14ac:dyDescent="0.25">
      <c r="B36" s="4">
        <v>7126</v>
      </c>
      <c r="C36" s="4" t="s">
        <v>68</v>
      </c>
      <c r="D36" s="9">
        <f>1004866.44497907/1000</f>
        <v>1004.86644497907</v>
      </c>
      <c r="E36" s="8">
        <v>1472.3440419242502</v>
      </c>
      <c r="F36" s="8" t="s">
        <v>69</v>
      </c>
      <c r="G36" s="4" t="s">
        <v>70</v>
      </c>
      <c r="I36"/>
    </row>
    <row r="37" spans="1:9" x14ac:dyDescent="0.25">
      <c r="A37" s="4" t="s">
        <v>118</v>
      </c>
      <c r="B37" s="4">
        <v>7131</v>
      </c>
      <c r="C37" s="4" t="s">
        <v>71</v>
      </c>
      <c r="D37" s="9">
        <f>6668593.51978818/1000</f>
        <v>6668.5935197881799</v>
      </c>
      <c r="E37" s="8">
        <v>1521.0440527461146</v>
      </c>
      <c r="F37" s="8" t="s">
        <v>72</v>
      </c>
      <c r="G37" s="4" t="s">
        <v>73</v>
      </c>
      <c r="I37"/>
    </row>
    <row r="38" spans="1:9" x14ac:dyDescent="0.25">
      <c r="B38" s="4">
        <v>7139</v>
      </c>
      <c r="C38" s="4" t="s">
        <v>74</v>
      </c>
      <c r="D38" s="9">
        <f>5147562.96138/1000</f>
        <v>5147.5629613800002</v>
      </c>
      <c r="E38" s="8">
        <v>-8.7383524591999162E-4</v>
      </c>
      <c r="F38" s="8" t="s">
        <v>75</v>
      </c>
      <c r="G38" s="4" t="s">
        <v>76</v>
      </c>
      <c r="I38"/>
    </row>
    <row r="39" spans="1:9" ht="16.5" thickBot="1" x14ac:dyDescent="0.3">
      <c r="D39" s="10">
        <f>SUM(D33:D38)</f>
        <v>19079.816883246578</v>
      </c>
      <c r="E39" s="10">
        <f>SUM(E33:E38)</f>
        <v>6991.9875186735117</v>
      </c>
      <c r="F39" s="11"/>
      <c r="I39"/>
    </row>
    <row r="40" spans="1:9" ht="8.25" customHeight="1" x14ac:dyDescent="0.25">
      <c r="D40" s="39"/>
      <c r="E40" s="39"/>
      <c r="F40" s="11"/>
      <c r="I40"/>
    </row>
    <row r="41" spans="1:9" x14ac:dyDescent="0.25">
      <c r="B41" s="14" t="s">
        <v>125</v>
      </c>
      <c r="D41" s="39">
        <f>SUM(D24,D30,D39)</f>
        <v>68993.548532992485</v>
      </c>
      <c r="E41" s="39">
        <f>SUM(E24,E30,E39)</f>
        <v>41459.40529314302</v>
      </c>
      <c r="F41" s="11"/>
      <c r="I41"/>
    </row>
    <row r="42" spans="1:9" ht="8.25" customHeight="1" x14ac:dyDescent="0.25">
      <c r="D42" s="18"/>
      <c r="I42"/>
    </row>
    <row r="43" spans="1:9" x14ac:dyDescent="0.25">
      <c r="A43" s="14" t="s">
        <v>77</v>
      </c>
      <c r="D43" s="18"/>
      <c r="I43"/>
    </row>
    <row r="44" spans="1:9" x14ac:dyDescent="0.25">
      <c r="B44" s="14" t="s">
        <v>78</v>
      </c>
      <c r="D44" s="18"/>
      <c r="I44"/>
    </row>
    <row r="45" spans="1:9" ht="16.5" thickBot="1" x14ac:dyDescent="0.3">
      <c r="B45" s="5">
        <v>7201</v>
      </c>
      <c r="C45" s="4" t="s">
        <v>79</v>
      </c>
      <c r="D45" s="38">
        <f>1094679.47843124/1000</f>
        <v>1094.6794784312399</v>
      </c>
      <c r="E45" s="10">
        <v>745.72577720307982</v>
      </c>
      <c r="F45" s="8" t="s">
        <v>80</v>
      </c>
      <c r="G45" s="4" t="s">
        <v>81</v>
      </c>
      <c r="I45"/>
    </row>
    <row r="46" spans="1:9" x14ac:dyDescent="0.25">
      <c r="D46" s="18"/>
      <c r="I46"/>
    </row>
    <row r="47" spans="1:9" x14ac:dyDescent="0.25">
      <c r="B47" s="14" t="s">
        <v>82</v>
      </c>
      <c r="D47" s="18"/>
      <c r="I47"/>
    </row>
    <row r="48" spans="1:9" x14ac:dyDescent="0.25">
      <c r="A48" s="4" t="s">
        <v>118</v>
      </c>
      <c r="B48" s="5">
        <v>3005</v>
      </c>
      <c r="C48" s="4" t="s">
        <v>83</v>
      </c>
      <c r="D48" s="9">
        <f>1739327.56711162/1000</f>
        <v>1739.3275671116201</v>
      </c>
      <c r="E48" s="8">
        <v>2551.7033600000004</v>
      </c>
      <c r="F48" s="8" t="s">
        <v>84</v>
      </c>
      <c r="G48" s="4" t="s">
        <v>85</v>
      </c>
      <c r="I48"/>
    </row>
    <row r="49" spans="1:9" x14ac:dyDescent="0.25">
      <c r="A49" s="4" t="s">
        <v>118</v>
      </c>
      <c r="B49" s="5">
        <v>3008</v>
      </c>
      <c r="C49" s="4" t="s">
        <v>86</v>
      </c>
      <c r="D49" s="9">
        <f>11257791.6818956/1000</f>
        <v>11257.7916818956</v>
      </c>
      <c r="E49" s="8">
        <v>8323.9033400000008</v>
      </c>
      <c r="F49" s="8" t="s">
        <v>87</v>
      </c>
      <c r="G49" s="4" t="s">
        <v>85</v>
      </c>
      <c r="I49"/>
    </row>
    <row r="50" spans="1:9" x14ac:dyDescent="0.25">
      <c r="B50" s="5">
        <v>3237</v>
      </c>
      <c r="C50" s="4" t="s">
        <v>88</v>
      </c>
      <c r="D50" s="9">
        <f>342000.19/1000</f>
        <v>342.00018999999998</v>
      </c>
      <c r="E50" s="8">
        <v>0</v>
      </c>
      <c r="F50" s="8" t="s">
        <v>89</v>
      </c>
      <c r="G50" s="4" t="s">
        <v>90</v>
      </c>
      <c r="I50"/>
    </row>
    <row r="51" spans="1:9" ht="16.5" thickBot="1" x14ac:dyDescent="0.3">
      <c r="D51" s="10">
        <f>SUM(D48:D50)</f>
        <v>13339.119439007221</v>
      </c>
      <c r="E51" s="10">
        <f>SUM(E48:E50)</f>
        <v>10875.6067</v>
      </c>
      <c r="F51" s="11"/>
      <c r="I51"/>
    </row>
    <row r="52" spans="1:9" x14ac:dyDescent="0.25">
      <c r="B52" s="14" t="s">
        <v>91</v>
      </c>
      <c r="D52" s="18"/>
      <c r="I52"/>
    </row>
    <row r="53" spans="1:9" x14ac:dyDescent="0.25">
      <c r="B53" s="4">
        <v>7000</v>
      </c>
      <c r="C53" s="4" t="s">
        <v>59</v>
      </c>
      <c r="D53" s="9">
        <f>1107888.63299563/1000</f>
        <v>1107.8886329956299</v>
      </c>
      <c r="E53" s="8">
        <v>553.91040528426424</v>
      </c>
      <c r="F53" s="8" t="s">
        <v>60</v>
      </c>
      <c r="G53" s="4" t="s">
        <v>61</v>
      </c>
      <c r="I53"/>
    </row>
    <row r="54" spans="1:9" x14ac:dyDescent="0.25">
      <c r="B54" s="4">
        <v>7001</v>
      </c>
      <c r="C54" s="4" t="s">
        <v>62</v>
      </c>
      <c r="D54" s="9">
        <f>418648.044423756/1000</f>
        <v>418.64804442375601</v>
      </c>
      <c r="E54" s="8">
        <v>23.742328671488526</v>
      </c>
      <c r="F54" s="8" t="s">
        <v>63</v>
      </c>
      <c r="G54" s="4" t="s">
        <v>64</v>
      </c>
      <c r="I54"/>
    </row>
    <row r="55" spans="1:9" x14ac:dyDescent="0.25">
      <c r="B55" s="4">
        <v>7006</v>
      </c>
      <c r="C55" s="4" t="s">
        <v>65</v>
      </c>
      <c r="D55" s="9">
        <f>276501.439076445/1000</f>
        <v>276.50143907644502</v>
      </c>
      <c r="E55" s="8">
        <v>517.75952868093009</v>
      </c>
      <c r="F55" s="8" t="s">
        <v>66</v>
      </c>
      <c r="G55" s="4" t="s">
        <v>67</v>
      </c>
      <c r="I55"/>
    </row>
    <row r="56" spans="1:9" x14ac:dyDescent="0.25">
      <c r="B56" s="4">
        <v>7126</v>
      </c>
      <c r="C56" s="4" t="s">
        <v>68</v>
      </c>
      <c r="D56" s="9">
        <f>289482.688630418/1000</f>
        <v>289.48268863041795</v>
      </c>
      <c r="E56" s="8">
        <v>440.33037905303667</v>
      </c>
      <c r="F56" s="8" t="s">
        <v>69</v>
      </c>
      <c r="G56" s="4" t="s">
        <v>70</v>
      </c>
      <c r="I56"/>
    </row>
    <row r="57" spans="1:9" x14ac:dyDescent="0.25">
      <c r="A57" s="4" t="s">
        <v>118</v>
      </c>
      <c r="B57" s="4">
        <v>7131</v>
      </c>
      <c r="C57" s="4" t="s">
        <v>71</v>
      </c>
      <c r="D57" s="9">
        <f>1921093.48574364/1000</f>
        <v>1921.09348574364</v>
      </c>
      <c r="E57" s="8">
        <v>455.24558684496429</v>
      </c>
      <c r="F57" s="8" t="s">
        <v>72</v>
      </c>
      <c r="G57" s="4" t="s">
        <v>73</v>
      </c>
      <c r="I57"/>
    </row>
    <row r="58" spans="1:9" x14ac:dyDescent="0.25">
      <c r="B58" s="4">
        <v>7132</v>
      </c>
      <c r="C58" s="4" t="s">
        <v>92</v>
      </c>
      <c r="D58" s="9">
        <f>44965.0840580594/1000</f>
        <v>44.965084058059404</v>
      </c>
      <c r="E58" s="8">
        <v>1937.2604200000001</v>
      </c>
      <c r="F58" s="8" t="s">
        <v>93</v>
      </c>
      <c r="G58" s="4" t="s">
        <v>94</v>
      </c>
      <c r="I58"/>
    </row>
    <row r="59" spans="1:9" ht="16.5" thickBot="1" x14ac:dyDescent="0.3">
      <c r="D59" s="10">
        <f>SUM(D53:D58)</f>
        <v>4058.5793749279483</v>
      </c>
      <c r="E59" s="10">
        <f>SUM(E53:E58)</f>
        <v>3928.248648534684</v>
      </c>
      <c r="F59" s="11"/>
      <c r="I59"/>
    </row>
    <row r="60" spans="1:9" ht="7.5" customHeight="1" x14ac:dyDescent="0.25">
      <c r="D60" s="39"/>
      <c r="E60" s="39"/>
      <c r="F60" s="11"/>
    </row>
    <row r="61" spans="1:9" x14ac:dyDescent="0.25">
      <c r="B61" s="14" t="s">
        <v>126</v>
      </c>
      <c r="D61" s="39">
        <f>SUM(D45,D51,D59)</f>
        <v>18492.378292366411</v>
      </c>
      <c r="E61" s="39">
        <f>SUM(E45,E51,E59)</f>
        <v>15549.581125737763</v>
      </c>
      <c r="F61" s="11"/>
    </row>
    <row r="62" spans="1:9" ht="6.75" customHeight="1" x14ac:dyDescent="0.25"/>
    <row r="63" spans="1:9" hidden="1" outlineLevel="1" x14ac:dyDescent="0.25">
      <c r="B63" s="14" t="s">
        <v>127</v>
      </c>
      <c r="D63" s="26">
        <f>SUM(D41,D61)</f>
        <v>87485.926825358896</v>
      </c>
      <c r="E63" s="26">
        <f>SUM(E41,E61)</f>
        <v>57008.986418880784</v>
      </c>
    </row>
    <row r="64" spans="1:9" ht="6" customHeight="1" collapsed="1" x14ac:dyDescent="0.25">
      <c r="D64" s="12"/>
      <c r="E64" s="12"/>
      <c r="F64" s="23"/>
      <c r="G64" s="14"/>
    </row>
    <row r="65" spans="1:7" ht="17.25" hidden="1" customHeight="1" outlineLevel="1" x14ac:dyDescent="0.25">
      <c r="B65" s="4" t="s">
        <v>119</v>
      </c>
      <c r="D65" s="12"/>
      <c r="E65" s="12"/>
      <c r="F65" s="23"/>
      <c r="G65" s="14"/>
    </row>
    <row r="66" spans="1:7" ht="17.25" customHeight="1" collapsed="1" x14ac:dyDescent="0.25">
      <c r="D66" s="12"/>
      <c r="E66" s="12"/>
      <c r="F66" s="23"/>
      <c r="G66" s="14"/>
    </row>
    <row r="67" spans="1:7" ht="63" x14ac:dyDescent="0.25">
      <c r="A67" s="1"/>
      <c r="B67" s="3" t="s">
        <v>121</v>
      </c>
      <c r="C67" s="1" t="s">
        <v>95</v>
      </c>
      <c r="D67" s="2" t="s">
        <v>120</v>
      </c>
      <c r="E67" s="2" t="s">
        <v>142</v>
      </c>
      <c r="F67" s="2" t="s">
        <v>96</v>
      </c>
      <c r="G67" s="2" t="s">
        <v>97</v>
      </c>
    </row>
    <row r="68" spans="1:7" x14ac:dyDescent="0.25">
      <c r="C68" s="15"/>
      <c r="D68" s="12"/>
      <c r="E68" s="12"/>
      <c r="F68" s="12"/>
      <c r="G68" s="12"/>
    </row>
    <row r="69" spans="1:7" x14ac:dyDescent="0.25">
      <c r="A69" s="14" t="s">
        <v>27</v>
      </c>
    </row>
    <row r="70" spans="1:7" x14ac:dyDescent="0.25">
      <c r="A70" s="4" t="s">
        <v>118</v>
      </c>
      <c r="B70" s="4">
        <f>'[2]Threshold Projects WA E '!A36</f>
        <v>5005</v>
      </c>
      <c r="C70" s="4" t="s">
        <v>98</v>
      </c>
      <c r="D70" s="6">
        <f>10318833.1937306/1000</f>
        <v>10318.833193730599</v>
      </c>
      <c r="E70" s="7">
        <v>5126.8474843651338</v>
      </c>
      <c r="F70" s="8" t="s">
        <v>99</v>
      </c>
      <c r="G70" s="4" t="s">
        <v>100</v>
      </c>
    </row>
    <row r="71" spans="1:7" x14ac:dyDescent="0.25">
      <c r="B71" s="4">
        <f>'[2]Threshold Projects WA E '!A38</f>
        <v>5006</v>
      </c>
      <c r="C71" s="4" t="s">
        <v>101</v>
      </c>
      <c r="D71" s="9">
        <f>6788703.91657377/1000</f>
        <v>6788.7039165737706</v>
      </c>
      <c r="E71" s="8">
        <v>3994.7017895806398</v>
      </c>
      <c r="F71" s="8" t="s">
        <v>102</v>
      </c>
      <c r="G71" s="4" t="s">
        <v>100</v>
      </c>
    </row>
    <row r="72" spans="1:7" x14ac:dyDescent="0.25">
      <c r="B72" s="4">
        <f>'[2]Threshold Projects WA E '!A40</f>
        <v>5014</v>
      </c>
      <c r="C72" s="4" t="s">
        <v>103</v>
      </c>
      <c r="D72" s="9">
        <f>1858050.82454971/1000</f>
        <v>1858.0508245497099</v>
      </c>
      <c r="E72" s="8">
        <v>450.57587573207218</v>
      </c>
      <c r="F72" s="8" t="s">
        <v>104</v>
      </c>
      <c r="G72" s="4" t="s">
        <v>105</v>
      </c>
    </row>
    <row r="73" spans="1:7" x14ac:dyDescent="0.25">
      <c r="B73" s="4">
        <f>'[2]Threshold Projects WA E '!A41</f>
        <v>5121</v>
      </c>
      <c r="C73" s="4" t="s">
        <v>106</v>
      </c>
      <c r="D73" s="9">
        <f>2591726.95081755/1000</f>
        <v>2591.72695081755</v>
      </c>
      <c r="E73" s="8">
        <v>2172.3735164280579</v>
      </c>
      <c r="F73" s="8" t="s">
        <v>107</v>
      </c>
      <c r="G73" s="4" t="s">
        <v>100</v>
      </c>
    </row>
    <row r="74" spans="1:7" x14ac:dyDescent="0.25">
      <c r="B74" s="4">
        <f>'[2]Threshold Projects WA E '!A42</f>
        <v>5143</v>
      </c>
      <c r="C74" s="4" t="s">
        <v>108</v>
      </c>
      <c r="D74" s="9">
        <f>4427722.8934802/1000</f>
        <v>4427.7228934802006</v>
      </c>
      <c r="E74" s="8">
        <v>5693.2979039073298</v>
      </c>
      <c r="F74" s="8" t="s">
        <v>109</v>
      </c>
      <c r="G74" s="4" t="s">
        <v>110</v>
      </c>
    </row>
    <row r="75" spans="1:7" x14ac:dyDescent="0.25">
      <c r="B75" s="4">
        <f>'[2]Threshold Projects WA E '!A43</f>
        <v>5147</v>
      </c>
      <c r="C75" s="4" t="s">
        <v>111</v>
      </c>
      <c r="D75" s="9">
        <f>2935959.71301104/1000</f>
        <v>2935.9597130110401</v>
      </c>
      <c r="E75" s="8">
        <v>247.24226749835384</v>
      </c>
      <c r="F75" s="8" t="s">
        <v>112</v>
      </c>
      <c r="G75" s="4" t="s">
        <v>110</v>
      </c>
    </row>
    <row r="76" spans="1:7" x14ac:dyDescent="0.25">
      <c r="B76" s="4">
        <f>'[2]Threshold Projects WA E '!A44</f>
        <v>5151</v>
      </c>
      <c r="C76" s="4" t="s">
        <v>113</v>
      </c>
      <c r="D76" s="9">
        <f>891256.79523273/1000</f>
        <v>891.25679523273004</v>
      </c>
      <c r="E76" s="8">
        <v>382.04970472167815</v>
      </c>
      <c r="F76" s="8" t="s">
        <v>114</v>
      </c>
      <c r="G76" s="4" t="s">
        <v>115</v>
      </c>
    </row>
    <row r="77" spans="1:7" ht="16.5" thickBot="1" x14ac:dyDescent="0.3">
      <c r="B77" s="14" t="s">
        <v>128</v>
      </c>
      <c r="D77" s="10">
        <f>SUM(D70:D76)</f>
        <v>29812.254287395601</v>
      </c>
      <c r="E77" s="10">
        <f>SUM(E70:E76)</f>
        <v>18067.088542233265</v>
      </c>
      <c r="F77" s="11"/>
    </row>
    <row r="78" spans="1:7" x14ac:dyDescent="0.25">
      <c r="D78" s="39"/>
      <c r="E78" s="39"/>
      <c r="F78" s="11"/>
    </row>
    <row r="79" spans="1:7" x14ac:dyDescent="0.25">
      <c r="A79" s="14" t="s">
        <v>77</v>
      </c>
      <c r="D79" s="18"/>
    </row>
    <row r="80" spans="1:7" x14ac:dyDescent="0.25">
      <c r="A80" s="4" t="s">
        <v>118</v>
      </c>
      <c r="B80" s="4">
        <f>'[2]Threshold Projects WA G'!A15</f>
        <v>5005</v>
      </c>
      <c r="C80" s="4" t="s">
        <v>98</v>
      </c>
      <c r="D80" s="9">
        <f>2972657.30324207/1000</f>
        <v>2972.6573032420702</v>
      </c>
      <c r="E80" s="8">
        <v>1627.4427479788849</v>
      </c>
      <c r="F80" s="8" t="s">
        <v>99</v>
      </c>
      <c r="G80" s="4" t="s">
        <v>100</v>
      </c>
    </row>
    <row r="81" spans="1:7" x14ac:dyDescent="0.25">
      <c r="A81" s="4" t="s">
        <v>118</v>
      </c>
      <c r="B81" s="4">
        <f>'[2]Threshold Projects WA G'!A17</f>
        <v>5006</v>
      </c>
      <c r="C81" s="4" t="s">
        <v>101</v>
      </c>
      <c r="D81" s="9">
        <f>1955694.98006927/1000</f>
        <v>1955.6949800692698</v>
      </c>
      <c r="E81" s="8">
        <v>1112.5843672481328</v>
      </c>
      <c r="F81" s="8" t="s">
        <v>102</v>
      </c>
      <c r="G81" s="4" t="s">
        <v>100</v>
      </c>
    </row>
    <row r="82" spans="1:7" x14ac:dyDescent="0.25">
      <c r="B82" s="4">
        <f>'[2]Threshold Projects WA G'!A19</f>
        <v>5014</v>
      </c>
      <c r="C82" s="4" t="s">
        <v>103</v>
      </c>
      <c r="D82" s="9">
        <f>535268.692660763/1000</f>
        <v>535.26869266076301</v>
      </c>
      <c r="E82" s="8">
        <v>134.86697652905599</v>
      </c>
      <c r="F82" s="8" t="s">
        <v>104</v>
      </c>
      <c r="G82" s="4" t="s">
        <v>105</v>
      </c>
    </row>
    <row r="83" spans="1:7" x14ac:dyDescent="0.25">
      <c r="B83" s="4">
        <f>'[2]Threshold Projects WA G'!A20</f>
        <v>5121</v>
      </c>
      <c r="C83" s="4" t="s">
        <v>106</v>
      </c>
      <c r="D83" s="9">
        <f>746626.668317306/1000</f>
        <v>746.62666831730598</v>
      </c>
      <c r="E83" s="8">
        <v>649.76773355997773</v>
      </c>
      <c r="F83" s="8" t="s">
        <v>116</v>
      </c>
      <c r="G83" s="4" t="s">
        <v>100</v>
      </c>
    </row>
    <row r="84" spans="1:7" x14ac:dyDescent="0.25">
      <c r="B84" s="4">
        <f>'[2]Threshold Projects WA G'!A21</f>
        <v>5143</v>
      </c>
      <c r="C84" s="4" t="s">
        <v>108</v>
      </c>
      <c r="D84" s="9">
        <f>1275541.77385413/1000</f>
        <v>1275.54177385413</v>
      </c>
      <c r="E84" s="8">
        <v>1703.9932148369646</v>
      </c>
      <c r="F84" s="8" t="s">
        <v>109</v>
      </c>
      <c r="G84" s="4" t="s">
        <v>110</v>
      </c>
    </row>
    <row r="85" spans="1:7" x14ac:dyDescent="0.25">
      <c r="B85" s="4">
        <f>'[2]Threshold Projects WA G'!A22</f>
        <v>5147</v>
      </c>
      <c r="C85" s="4" t="s">
        <v>111</v>
      </c>
      <c r="D85" s="9">
        <f>845793.503882724/1000</f>
        <v>845.79350388272394</v>
      </c>
      <c r="E85" s="8">
        <v>73.999139575844367</v>
      </c>
      <c r="F85" s="8" t="s">
        <v>112</v>
      </c>
      <c r="G85" s="4" t="s">
        <v>110</v>
      </c>
    </row>
    <row r="86" spans="1:7" x14ac:dyDescent="0.25">
      <c r="B86" s="4">
        <f>'[2]Threshold Projects WA G'!A23</f>
        <v>5151</v>
      </c>
      <c r="C86" s="4" t="s">
        <v>113</v>
      </c>
      <c r="D86" s="9">
        <f>256753.934448944/1000</f>
        <v>256.75393444894399</v>
      </c>
      <c r="E86" s="8">
        <v>114.34674867960359</v>
      </c>
      <c r="F86" s="8" t="s">
        <v>114</v>
      </c>
      <c r="G86" s="4" t="s">
        <v>115</v>
      </c>
    </row>
    <row r="87" spans="1:7" ht="16.5" thickBot="1" x14ac:dyDescent="0.3">
      <c r="B87" s="14" t="s">
        <v>129</v>
      </c>
      <c r="D87" s="10">
        <f>SUM(D80:D86)</f>
        <v>8588.3368564752072</v>
      </c>
      <c r="E87" s="10">
        <f>SUM(E80:E86)</f>
        <v>5417.0009284084645</v>
      </c>
      <c r="F87" s="11"/>
    </row>
    <row r="88" spans="1:7" x14ac:dyDescent="0.25">
      <c r="D88" s="39"/>
      <c r="E88" s="39"/>
      <c r="F88" s="11"/>
    </row>
    <row r="89" spans="1:7" x14ac:dyDescent="0.25">
      <c r="A89" s="14" t="s">
        <v>117</v>
      </c>
      <c r="D89" s="18"/>
    </row>
    <row r="90" spans="1:7" x14ac:dyDescent="0.25">
      <c r="B90" s="4">
        <v>5005</v>
      </c>
      <c r="C90" s="4" t="s">
        <v>98</v>
      </c>
      <c r="D90" s="9">
        <f t="shared" ref="D90:D96" si="0">SUM(D70,D80)</f>
        <v>13291.49049697267</v>
      </c>
      <c r="E90" s="8">
        <v>6754.2902323440185</v>
      </c>
      <c r="F90" s="8" t="s">
        <v>99</v>
      </c>
      <c r="G90" s="4" t="s">
        <v>100</v>
      </c>
    </row>
    <row r="91" spans="1:7" x14ac:dyDescent="0.25">
      <c r="B91" s="4">
        <v>5006</v>
      </c>
      <c r="C91" s="4" t="s">
        <v>101</v>
      </c>
      <c r="D91" s="9">
        <f t="shared" si="0"/>
        <v>8744.3988966430406</v>
      </c>
      <c r="E91" s="8">
        <v>5107.2861568287726</v>
      </c>
      <c r="F91" s="8" t="s">
        <v>102</v>
      </c>
      <c r="G91" s="4" t="s">
        <v>100</v>
      </c>
    </row>
    <row r="92" spans="1:7" x14ac:dyDescent="0.25">
      <c r="B92" s="4">
        <v>5014</v>
      </c>
      <c r="C92" s="4" t="s">
        <v>103</v>
      </c>
      <c r="D92" s="9">
        <f t="shared" si="0"/>
        <v>2393.3195172104729</v>
      </c>
      <c r="E92" s="8">
        <v>585.44285226112811</v>
      </c>
      <c r="F92" s="8" t="s">
        <v>104</v>
      </c>
      <c r="G92" s="4" t="s">
        <v>105</v>
      </c>
    </row>
    <row r="93" spans="1:7" x14ac:dyDescent="0.25">
      <c r="B93" s="4">
        <v>5121</v>
      </c>
      <c r="C93" s="4" t="s">
        <v>106</v>
      </c>
      <c r="D93" s="9">
        <f t="shared" si="0"/>
        <v>3338.3536191348558</v>
      </c>
      <c r="E93" s="8">
        <v>2822.1412499880357</v>
      </c>
      <c r="F93" s="8" t="s">
        <v>116</v>
      </c>
      <c r="G93" s="4" t="s">
        <v>100</v>
      </c>
    </row>
    <row r="94" spans="1:7" x14ac:dyDescent="0.25">
      <c r="B94" s="4">
        <v>5143</v>
      </c>
      <c r="C94" s="4" t="s">
        <v>108</v>
      </c>
      <c r="D94" s="9">
        <f t="shared" si="0"/>
        <v>5703.2646673343306</v>
      </c>
      <c r="E94" s="8">
        <v>7397.2911187442942</v>
      </c>
      <c r="F94" s="8" t="s">
        <v>109</v>
      </c>
      <c r="G94" s="4" t="s">
        <v>110</v>
      </c>
    </row>
    <row r="95" spans="1:7" x14ac:dyDescent="0.25">
      <c r="B95" s="4">
        <v>5147</v>
      </c>
      <c r="C95" s="4" t="s">
        <v>111</v>
      </c>
      <c r="D95" s="9">
        <f t="shared" si="0"/>
        <v>3781.7532168937641</v>
      </c>
      <c r="E95" s="8">
        <v>321.24140707419821</v>
      </c>
      <c r="F95" s="8" t="s">
        <v>112</v>
      </c>
      <c r="G95" s="4" t="s">
        <v>110</v>
      </c>
    </row>
    <row r="96" spans="1:7" x14ac:dyDescent="0.25">
      <c r="B96" s="4">
        <v>5151</v>
      </c>
      <c r="C96" s="4" t="s">
        <v>113</v>
      </c>
      <c r="D96" s="9">
        <f t="shared" si="0"/>
        <v>1148.0107296816741</v>
      </c>
      <c r="E96" s="8">
        <v>496.39645340128175</v>
      </c>
      <c r="F96" s="8" t="s">
        <v>114</v>
      </c>
      <c r="G96" s="4" t="s">
        <v>115</v>
      </c>
    </row>
    <row r="97" spans="2:6" ht="16.5" thickBot="1" x14ac:dyDescent="0.3">
      <c r="B97" s="14" t="s">
        <v>131</v>
      </c>
      <c r="D97" s="10">
        <f>SUM(D90:D96)</f>
        <v>38400.591143870806</v>
      </c>
      <c r="E97" s="10">
        <f>SUM(E90:E96)</f>
        <v>23484.089470641728</v>
      </c>
      <c r="F97" s="11"/>
    </row>
    <row r="99" spans="2:6" hidden="1" outlineLevel="1" x14ac:dyDescent="0.25">
      <c r="B99" s="4" t="s">
        <v>119</v>
      </c>
    </row>
    <row r="100" spans="2:6" collapsed="1" x14ac:dyDescent="0.25"/>
    <row r="101" spans="2:6" ht="16.5" thickBot="1" x14ac:dyDescent="0.3">
      <c r="B101" s="14" t="s">
        <v>130</v>
      </c>
      <c r="C101" s="14"/>
      <c r="D101" s="10">
        <f>SUM(D11,D63,D97)</f>
        <v>157283.14594044871</v>
      </c>
      <c r="E101" s="10">
        <f>SUM(E11,E63,E97)</f>
        <v>100042.88068644251</v>
      </c>
    </row>
    <row r="103" spans="2:6" x14ac:dyDescent="0.25">
      <c r="B103" s="4" t="s">
        <v>119</v>
      </c>
    </row>
    <row r="104" spans="2:6" s="14" customFormat="1" x14ac:dyDescent="0.25">
      <c r="F104" s="24"/>
    </row>
    <row r="105" spans="2:6" x14ac:dyDescent="0.25">
      <c r="E105" s="25"/>
    </row>
  </sheetData>
  <pageMargins left="0.7" right="0.7" top="0.75" bottom="0.75" header="0.3" footer="0.3"/>
  <pageSetup scale="77" fitToHeight="0" orientation="portrait" r:id="rId1"/>
  <headerFooter>
    <oddHeader>&amp;C&amp;"Times New Roman,Bold"&amp;12 2017 Washington Allocated 
Capital Additions
Functional Group Method&amp;R&amp;"Times New Roman,Regular"&amp;12Exh. KKS-4</oddHeader>
    <oddFooter>&amp;R&amp;"Times New Roman,Regular"&amp;12Page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showGridLines="0" workbookViewId="0">
      <selection activeCell="A4" sqref="A4:D12"/>
    </sheetView>
  </sheetViews>
  <sheetFormatPr defaultRowHeight="15" x14ac:dyDescent="0.25"/>
  <cols>
    <col min="2" max="2" width="51.5703125" bestFit="1" customWidth="1"/>
    <col min="3" max="3" width="12.7109375" bestFit="1" customWidth="1"/>
    <col min="4" max="4" width="12" bestFit="1" customWidth="1"/>
  </cols>
  <sheetData>
    <row r="4" spans="1:5" x14ac:dyDescent="0.25">
      <c r="A4" s="27" t="s">
        <v>121</v>
      </c>
      <c r="B4" s="28" t="s">
        <v>123</v>
      </c>
      <c r="C4" s="29" t="s">
        <v>133</v>
      </c>
      <c r="D4" s="29" t="s">
        <v>134</v>
      </c>
    </row>
    <row r="5" spans="1:5" x14ac:dyDescent="0.25">
      <c r="A5" s="30"/>
      <c r="B5" s="30"/>
      <c r="C5" s="30"/>
      <c r="D5" s="30"/>
    </row>
    <row r="6" spans="1:5" x14ac:dyDescent="0.25">
      <c r="A6" s="31">
        <v>2423</v>
      </c>
      <c r="B6" s="30" t="s">
        <v>136</v>
      </c>
      <c r="C6" s="32">
        <v>21691</v>
      </c>
      <c r="D6" s="33">
        <v>0</v>
      </c>
    </row>
    <row r="7" spans="1:5" x14ac:dyDescent="0.25">
      <c r="A7" s="31">
        <v>2457</v>
      </c>
      <c r="B7" s="30" t="s">
        <v>137</v>
      </c>
      <c r="C7" s="35">
        <v>6573</v>
      </c>
      <c r="D7" s="34">
        <v>0</v>
      </c>
    </row>
    <row r="8" spans="1:5" x14ac:dyDescent="0.25">
      <c r="A8" s="31">
        <v>2060</v>
      </c>
      <c r="B8" s="30" t="s">
        <v>138</v>
      </c>
      <c r="C8" s="35">
        <v>44959</v>
      </c>
      <c r="D8" s="34">
        <v>0</v>
      </c>
    </row>
    <row r="9" spans="1:5" x14ac:dyDescent="0.25">
      <c r="A9" s="31">
        <v>2584</v>
      </c>
      <c r="B9" s="30" t="s">
        <v>139</v>
      </c>
      <c r="C9" s="35">
        <v>800038</v>
      </c>
      <c r="D9" s="34">
        <v>0</v>
      </c>
    </row>
    <row r="10" spans="1:5" x14ac:dyDescent="0.25">
      <c r="A10" s="31">
        <v>5005</v>
      </c>
      <c r="B10" s="30" t="s">
        <v>141</v>
      </c>
      <c r="C10" s="35">
        <v>18017</v>
      </c>
      <c r="D10" s="34">
        <v>5190</v>
      </c>
    </row>
    <row r="11" spans="1:5" x14ac:dyDescent="0.25">
      <c r="A11" s="31">
        <v>7139</v>
      </c>
      <c r="B11" s="30" t="s">
        <v>140</v>
      </c>
      <c r="C11" s="35">
        <v>210000</v>
      </c>
      <c r="D11" s="34">
        <v>0</v>
      </c>
    </row>
    <row r="12" spans="1:5" ht="15.75" thickBot="1" x14ac:dyDescent="0.3">
      <c r="A12" s="40" t="s">
        <v>135</v>
      </c>
      <c r="B12" s="30"/>
      <c r="C12" s="36">
        <f>SUM(C6:C11)</f>
        <v>1101278</v>
      </c>
      <c r="D12" s="36">
        <f>SUM(D6:D11)</f>
        <v>5190</v>
      </c>
    </row>
    <row r="14" spans="1:5" x14ac:dyDescent="0.25">
      <c r="A14" s="41"/>
      <c r="B14" s="42"/>
      <c r="C14" s="43"/>
      <c r="D14" s="43"/>
      <c r="E14" s="44"/>
    </row>
    <row r="15" spans="1:5" ht="7.15" customHeight="1" x14ac:dyDescent="0.25">
      <c r="A15" s="45"/>
      <c r="B15" s="45"/>
      <c r="C15" s="45"/>
      <c r="D15" s="45"/>
      <c r="E15" s="44"/>
    </row>
    <row r="16" spans="1:5" x14ac:dyDescent="0.25">
      <c r="A16" s="46"/>
      <c r="B16" s="45"/>
      <c r="C16" s="47"/>
      <c r="D16" s="48"/>
      <c r="E16" s="44"/>
    </row>
    <row r="17" spans="1:5" x14ac:dyDescent="0.25">
      <c r="A17" s="42"/>
      <c r="B17" s="45"/>
      <c r="C17" s="49"/>
      <c r="D17" s="49"/>
      <c r="E17" s="44"/>
    </row>
    <row r="18" spans="1:5" x14ac:dyDescent="0.25">
      <c r="A18" s="44"/>
      <c r="B18" s="44"/>
      <c r="C18" s="44"/>
      <c r="D18" s="44"/>
      <c r="E18" s="44"/>
    </row>
    <row r="19" spans="1:5" x14ac:dyDescent="0.25">
      <c r="A19" s="44"/>
      <c r="B19" s="44"/>
      <c r="C19" s="44"/>
      <c r="D19" s="44"/>
      <c r="E19" s="44"/>
    </row>
    <row r="20" spans="1:5" x14ac:dyDescent="0.25">
      <c r="A20" s="44"/>
      <c r="B20" s="44"/>
      <c r="C20" s="44"/>
      <c r="D20" s="44"/>
      <c r="E20" s="44"/>
    </row>
  </sheetData>
  <pageMargins left="0.7" right="0.7" top="0.75" bottom="0.75" header="0.3" footer="0.3"/>
  <pageSetup orientation="portrait" r:id="rId1"/>
  <headerFooter>
    <oddHeader>&amp;C&amp;"Times New Roman,Bold"&amp;12Washington Allocated 
O&amp;&amp;M Offsets&amp;R&amp;"Times New Roman,Regular"&amp;12KKS-4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B61160B-3726-4B67-B750-2F55090419C0}"/>
</file>

<file path=customXml/itemProps2.xml><?xml version="1.0" encoding="utf-8"?>
<ds:datastoreItem xmlns:ds="http://schemas.openxmlformats.org/officeDocument/2006/customXml" ds:itemID="{8B209573-2AD3-402C-82ED-4166A3B40511}"/>
</file>

<file path=customXml/itemProps3.xml><?xml version="1.0" encoding="utf-8"?>
<ds:datastoreItem xmlns:ds="http://schemas.openxmlformats.org/officeDocument/2006/customXml" ds:itemID="{35FCF76B-46F0-43FA-91F7-EF1B1AD8DE19}"/>
</file>

<file path=customXml/itemProps4.xml><?xml version="1.0" encoding="utf-8"?>
<ds:datastoreItem xmlns:ds="http://schemas.openxmlformats.org/officeDocument/2006/customXml" ds:itemID="{08B8F1A0-826C-40B3-9165-B3457BD6C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Rebuttal Tables</vt:lpstr>
      <vt:lpstr>Offsets Table</vt:lpstr>
      <vt:lpstr>'Rebuttal Tables'!Print_Area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David Machado</cp:lastModifiedBy>
  <cp:lastPrinted>2017-11-22T00:02:24Z</cp:lastPrinted>
  <dcterms:created xsi:type="dcterms:W3CDTF">2017-11-11T01:18:53Z</dcterms:created>
  <dcterms:modified xsi:type="dcterms:W3CDTF">2017-11-29T16:55:00Z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