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7\2017_ WA Elec and Gas GRC\Rebuttal Testimony &amp; Exhibits\Schuh\"/>
    </mc:Choice>
  </mc:AlternateContent>
  <bookViews>
    <workbookView xWindow="0" yWindow="0" windowWidth="19350" windowHeight="7650" activeTab="1"/>
  </bookViews>
  <sheets>
    <sheet name="Electric" sheetId="1" r:id="rId1"/>
    <sheet name="NaturalGas" sheetId="2" r:id="rId2"/>
  </sheets>
  <externalReferences>
    <externalReference r:id="rId3"/>
  </externalReferences>
  <definedNames>
    <definedName name="_xlnm._FilterDatabase" localSheetId="0" hidden="1">Electric!$A$2:$J$117</definedName>
    <definedName name="_xlnm._FilterDatabase" localSheetId="1" hidden="1">NaturalGas!$A$2:$K$57</definedName>
    <definedName name="Allocation_Categories">OFFSET('[1]Allocation Factors'!$A$4,0,0,COUNTA('[1]Allocation Factors'!$A:$A)-COUNTA('[1]Allocation Factors'!$A$1:$A$3),1)</definedName>
    <definedName name="BusCaseList_cbo1">#REF!</definedName>
    <definedName name="BusCaseList_cbo2">BusCaseList_cbo1</definedName>
    <definedName name="_xlnm.Print_Area" localSheetId="0">Electric!$A$1:$J$117</definedName>
    <definedName name="_xlnm.Print_Area" localSheetId="1">NaturalGas!$A$1:$J$57</definedName>
    <definedName name="_xlnm.Print_Titles" localSheetId="0">Electric!$2:$2</definedName>
    <definedName name="_xlnm.Print_Titles" localSheetId="1">NaturalGas!$2:$2</definedName>
    <definedName name="TableName">"Dummy"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2" l="1"/>
  <c r="A14" i="2"/>
  <c r="A6" i="2"/>
  <c r="A43" i="1"/>
  <c r="A12" i="1"/>
  <c r="A6" i="1"/>
  <c r="F76" i="1" l="1"/>
  <c r="F112" i="1"/>
  <c r="F97" i="1"/>
  <c r="F59" i="1"/>
  <c r="F92" i="1"/>
  <c r="F87" i="1"/>
  <c r="F104" i="1"/>
  <c r="F114" i="1"/>
  <c r="F50" i="1"/>
  <c r="F103" i="1"/>
  <c r="F93" i="1"/>
  <c r="F111" i="1"/>
  <c r="F47" i="1"/>
  <c r="F107" i="1"/>
  <c r="F48" i="1"/>
  <c r="F95" i="1"/>
  <c r="F109" i="1"/>
  <c r="F60" i="1"/>
  <c r="F108" i="1"/>
  <c r="F102" i="1"/>
  <c r="F113" i="1"/>
  <c r="F81" i="1"/>
  <c r="F106" i="1"/>
  <c r="F110" i="1"/>
  <c r="F99" i="1"/>
  <c r="F84" i="1"/>
  <c r="F98" i="1"/>
  <c r="F90" i="1"/>
  <c r="F86" i="1"/>
  <c r="F105" i="1"/>
  <c r="F75" i="1"/>
  <c r="F101" i="1"/>
  <c r="F94" i="1"/>
  <c r="F100" i="1"/>
  <c r="F96" i="1"/>
  <c r="F91" i="1"/>
  <c r="F72" i="1"/>
  <c r="F89" i="1"/>
  <c r="F68" i="1"/>
  <c r="F83" i="1"/>
  <c r="F85" i="1"/>
  <c r="F51" i="1"/>
  <c r="F78" i="1"/>
  <c r="F80" i="1"/>
  <c r="F74" i="1"/>
  <c r="F88" i="1"/>
  <c r="F73" i="1"/>
  <c r="F62" i="1"/>
  <c r="F70" i="1"/>
  <c r="F65" i="1"/>
  <c r="F69" i="1"/>
  <c r="F79" i="1"/>
  <c r="F63" i="1"/>
  <c r="F57" i="1"/>
  <c r="F71" i="1"/>
  <c r="F64" i="1"/>
  <c r="F77" i="1"/>
  <c r="F67" i="1"/>
  <c r="F56" i="1"/>
  <c r="F82" i="1"/>
  <c r="F61" i="1"/>
  <c r="F54" i="1"/>
  <c r="F55" i="1"/>
  <c r="F45" i="1"/>
  <c r="F58" i="1"/>
  <c r="F66" i="1"/>
  <c r="F49" i="1"/>
  <c r="F52" i="1"/>
  <c r="F53" i="1"/>
  <c r="F46" i="1"/>
  <c r="F44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9" i="1" l="1"/>
  <c r="F8" i="1"/>
  <c r="F7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9" i="1"/>
  <c r="E8" i="1"/>
  <c r="E7" i="1"/>
  <c r="D9" i="1"/>
  <c r="D8" i="1"/>
  <c r="D7" i="1"/>
  <c r="F32" i="2"/>
  <c r="F40" i="2"/>
  <c r="F54" i="2"/>
  <c r="F41" i="2"/>
  <c r="F52" i="2"/>
  <c r="F53" i="2"/>
  <c r="F44" i="2"/>
  <c r="F49" i="2"/>
  <c r="F47" i="2"/>
  <c r="F51" i="2"/>
  <c r="F50" i="2"/>
  <c r="F48" i="2"/>
  <c r="F46" i="2"/>
  <c r="F43" i="2"/>
  <c r="F45" i="2"/>
  <c r="F35" i="2"/>
  <c r="F37" i="2"/>
  <c r="F39" i="2"/>
  <c r="F36" i="2"/>
  <c r="F42" i="2"/>
  <c r="F31" i="2"/>
  <c r="F33" i="2"/>
  <c r="F38" i="2"/>
  <c r="F34" i="2"/>
  <c r="F30" i="2"/>
  <c r="F22" i="2"/>
  <c r="F25" i="2"/>
  <c r="F23" i="2"/>
  <c r="F21" i="2"/>
  <c r="F20" i="2"/>
  <c r="F19" i="2"/>
  <c r="F24" i="2"/>
  <c r="F17" i="2"/>
  <c r="F18" i="2"/>
  <c r="F16" i="2"/>
  <c r="F15" i="2"/>
  <c r="F26" i="2"/>
  <c r="F11" i="2"/>
  <c r="F10" i="2"/>
  <c r="F9" i="2"/>
  <c r="F8" i="2"/>
  <c r="F7" i="2"/>
  <c r="E22" i="2"/>
  <c r="E25" i="2"/>
  <c r="E23" i="2"/>
  <c r="E21" i="2"/>
  <c r="E20" i="2"/>
  <c r="E19" i="2"/>
  <c r="E24" i="2"/>
  <c r="E17" i="2"/>
  <c r="E18" i="2"/>
  <c r="E16" i="2"/>
  <c r="E15" i="2"/>
  <c r="E26" i="2"/>
  <c r="E11" i="2"/>
  <c r="E10" i="2"/>
  <c r="E9" i="2"/>
  <c r="E8" i="2"/>
  <c r="E7" i="2"/>
  <c r="D11" i="2"/>
  <c r="D10" i="2"/>
  <c r="D9" i="2"/>
  <c r="D8" i="2"/>
  <c r="D7" i="2"/>
  <c r="A7" i="1" l="1"/>
  <c r="A8" i="1" s="1"/>
  <c r="A9" i="1" s="1"/>
  <c r="A10" i="1" s="1"/>
  <c r="E10" i="1"/>
  <c r="D10" i="1"/>
  <c r="E115" i="1"/>
  <c r="D115" i="1"/>
  <c r="E41" i="1"/>
  <c r="D41" i="1"/>
  <c r="F55" i="2"/>
  <c r="E55" i="2"/>
  <c r="D55" i="2"/>
  <c r="F27" i="2"/>
  <c r="D27" i="2"/>
  <c r="A4" i="2"/>
  <c r="A7" i="2" s="1"/>
  <c r="E12" i="2"/>
  <c r="E27" i="2"/>
  <c r="G35" i="1"/>
  <c r="G17" i="1"/>
  <c r="G8" i="1"/>
  <c r="G34" i="1"/>
  <c r="G38" i="1"/>
  <c r="G29" i="1"/>
  <c r="G27" i="1"/>
  <c r="E4" i="2" l="1"/>
  <c r="D4" i="1"/>
  <c r="E4" i="1"/>
  <c r="A8" i="2"/>
  <c r="A9" i="2" s="1"/>
  <c r="A10" i="2" s="1"/>
  <c r="A11" i="2" s="1"/>
  <c r="A12" i="2" s="1"/>
  <c r="F12" i="2"/>
  <c r="F4" i="2" s="1"/>
  <c r="G115" i="1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l="1"/>
  <c r="F10" i="1" l="1"/>
  <c r="F41" i="1"/>
  <c r="F115" i="1"/>
  <c r="F4" i="1" l="1"/>
  <c r="G55" i="2" l="1"/>
  <c r="D12" i="2"/>
  <c r="D4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</calcChain>
</file>

<file path=xl/sharedStrings.xml><?xml version="1.0" encoding="utf-8"?>
<sst xmlns="http://schemas.openxmlformats.org/spreadsheetml/2006/main" count="467" uniqueCount="235">
  <si>
    <t>ER</t>
  </si>
  <si>
    <t>Business Case Project Name</t>
  </si>
  <si>
    <t>Staff Through August 31, 2017</t>
  </si>
  <si>
    <t>Avista Rebuttal - Through October 31, 2017</t>
  </si>
  <si>
    <t>Washington Electric Total Project Through December 31, 2017*</t>
  </si>
  <si>
    <t>Electric Revenue Blanket</t>
  </si>
  <si>
    <t>Dist Grid Modernization</t>
  </si>
  <si>
    <t>Information Technology Expansion Program</t>
  </si>
  <si>
    <t>Nine Mile Redevelopment</t>
  </si>
  <si>
    <t>Information Technology Refresh Program</t>
  </si>
  <si>
    <t>Electric Distribution Minor Blanket</t>
  </si>
  <si>
    <t>Wood Pole Mgmt</t>
  </si>
  <si>
    <t>Little Falls Powerhouse Redevelopment</t>
  </si>
  <si>
    <t>Colstrip Capital Additions</t>
  </si>
  <si>
    <t>AU.com &amp; AVANet Redevelopment</t>
  </si>
  <si>
    <t>Distribution Line Transformers</t>
  </si>
  <si>
    <t>Substation Rebuilds</t>
  </si>
  <si>
    <t>Microwave Replacement with Fiber</t>
  </si>
  <si>
    <t>Regulating Hydro</t>
  </si>
  <si>
    <t>Transportation Equip</t>
  </si>
  <si>
    <t>Burke-Thompson A&amp;B 115kV Transmission Rebuld Proj</t>
  </si>
  <si>
    <t>Devils Gap-Lind 115kV Transmission Rebuild Proj</t>
  </si>
  <si>
    <t>Substation Asset Mgmt Capital Maintenance</t>
  </si>
  <si>
    <t>Downtown Campus</t>
  </si>
  <si>
    <t>Project Atlas</t>
  </si>
  <si>
    <t>CDA-Pine Creek 115kV Transmission Line: Rebuild</t>
  </si>
  <si>
    <t>Transmission Minor Rebuild</t>
  </si>
  <si>
    <t>COF Long Term Restructuring Plan Phase 2</t>
  </si>
  <si>
    <t>System Transmission:Rebuild Condition</t>
  </si>
  <si>
    <t>Distribution - Spokane North &amp; West</t>
  </si>
  <si>
    <t>Kettle Falls Stator Rewind</t>
  </si>
  <si>
    <t>Electric Transmission Plant-Storm</t>
  </si>
  <si>
    <t>Benton-Othello 115 Recond</t>
  </si>
  <si>
    <t>Security Systems</t>
  </si>
  <si>
    <t>Distribution Line Relocations</t>
  </si>
  <si>
    <t>Benewah-Moscow 230kV - Structure Replacement</t>
  </si>
  <si>
    <t>Base Load Thermal</t>
  </si>
  <si>
    <t>Clark Fork Implement PME Agreement</t>
  </si>
  <si>
    <t>Noxon Station Service</t>
  </si>
  <si>
    <t>TCOP Related Distribution Rebuilds</t>
  </si>
  <si>
    <t>Long term Campus Re-Structuring Plan</t>
  </si>
  <si>
    <t>Customer Facing Technology</t>
  </si>
  <si>
    <t>Structures &amp; Improv</t>
  </si>
  <si>
    <t>Spokane Electric Network Incr Capacity</t>
  </si>
  <si>
    <t>Failed Electric Dist Plant-Storm</t>
  </si>
  <si>
    <t>Electric Meters Minor Blanket</t>
  </si>
  <si>
    <t>Street Light Conversion to LED Fixtures</t>
  </si>
  <si>
    <t>Beacon-Boulder #2 115:  Capacity Upgrade</t>
  </si>
  <si>
    <t>West Plains Transmission Reinforce</t>
  </si>
  <si>
    <t>Spokane River Implementation (PM&amp;E)</t>
  </si>
  <si>
    <t>Tools Lab &amp; Shop Equipment</t>
  </si>
  <si>
    <t>Network Transformers &amp; Network Protectors</t>
  </si>
  <si>
    <t>Noxon 230 kV Substation - Rebuild</t>
  </si>
  <si>
    <t>Low Priority Ratings Mitigation</t>
  </si>
  <si>
    <t>Street Lt Minor Blanket</t>
  </si>
  <si>
    <t>Grid Mod Automation</t>
  </si>
  <si>
    <t>Medium Priority Ratings Mitigation</t>
  </si>
  <si>
    <t>Noxon and Clark Fork Living Facilty Remodel</t>
  </si>
  <si>
    <t>Hallett &amp; White Subst - Expand Sub; Add Capacity</t>
  </si>
  <si>
    <t>Base Hydro</t>
  </si>
  <si>
    <t>Sys-Dist Reliability-Improve Worst Fdrs</t>
  </si>
  <si>
    <t>Purchase Certified Rebuilt Cat D10R Dozer</t>
  </si>
  <si>
    <t>SCADA Upgrade</t>
  </si>
  <si>
    <t>Area Light Minor Blanket</t>
  </si>
  <si>
    <t>High Voltage Protection Upgrade</t>
  </si>
  <si>
    <t>Substation - Capital Spares</t>
  </si>
  <si>
    <t>Peaking Generation</t>
  </si>
  <si>
    <t>Stores Equip</t>
  </si>
  <si>
    <t>Distribution - Pullman &amp; Lewis Clark</t>
  </si>
  <si>
    <t>Ergonomic Equiptment</t>
  </si>
  <si>
    <t>9CE-Sunset 115kV Transmission Line: Rebuild</t>
  </si>
  <si>
    <t>PCB Identification &amp; Disposal</t>
  </si>
  <si>
    <t>Electric Underground Replacement</t>
  </si>
  <si>
    <t>Purchase Company Aircraft</t>
  </si>
  <si>
    <t>Colstrip Transmission Capital Additions</t>
  </si>
  <si>
    <t>Metro FDR Upgrade</t>
  </si>
  <si>
    <t>Gen DC Supplied System Upgrade</t>
  </si>
  <si>
    <t>Next Generation Radio System</t>
  </si>
  <si>
    <t>Automation Replacement</t>
  </si>
  <si>
    <t>Mobility in the Field</t>
  </si>
  <si>
    <t>Office Furniture</t>
  </si>
  <si>
    <t>Elec Meter Replacement Non Revenue</t>
  </si>
  <si>
    <t>System 115kV Air Switch Upgrade</t>
  </si>
  <si>
    <t>CNG Fleet Conversion</t>
  </si>
  <si>
    <t>Forest Srvc Rqmts</t>
  </si>
  <si>
    <t>Tribal Permits and Settlements</t>
  </si>
  <si>
    <t>CG HED U#1 Refurbishment</t>
  </si>
  <si>
    <t>Clark Fork License/Compliance</t>
  </si>
  <si>
    <t>Appren Craft Train</t>
  </si>
  <si>
    <t>Gas Revenue Blanket</t>
  </si>
  <si>
    <t>Aldyl -A Pipe Replacement</t>
  </si>
  <si>
    <t>Gas Distribution Non-Revenue Blanket</t>
  </si>
  <si>
    <t>US2 N Spo Gas HP Reinforce(Kaiser Prop)</t>
  </si>
  <si>
    <t>Dollar Rd Service Center Addition and Remodel</t>
  </si>
  <si>
    <t>Gas Meters Minor Blanket</t>
  </si>
  <si>
    <t>Jackson Prairie Storage</t>
  </si>
  <si>
    <t>Gas Meter Replacement Non Revenue</t>
  </si>
  <si>
    <t>Isolated Steel Replacement</t>
  </si>
  <si>
    <t>Gas Replace-St&amp;Hwy</t>
  </si>
  <si>
    <t>Gas ERT Minor Blanket</t>
  </si>
  <si>
    <t>Regulator Reliable - Blanket</t>
  </si>
  <si>
    <t>Gas Regulators Minor Blanket</t>
  </si>
  <si>
    <t>Gas Reinforce-Minor Blanket</t>
  </si>
  <si>
    <t>Cathodic Protection-Minor Blanket</t>
  </si>
  <si>
    <t>Enterprise Business Continuity</t>
  </si>
  <si>
    <t>Gas Telemetry</t>
  </si>
  <si>
    <t>Overbuilt Pipe Replacement Blanket</t>
  </si>
  <si>
    <t xml:space="preserve">Business Case Ref. </t>
  </si>
  <si>
    <t>Testimony Ref.</t>
  </si>
  <si>
    <t>SJK-4, pg. 1, 100-102</t>
  </si>
  <si>
    <t>SJK-1T, pg. 13, 25</t>
  </si>
  <si>
    <t>SJK-4, pg. 1, 39-43</t>
  </si>
  <si>
    <t>SJK-4, pg. 1, 55-58</t>
  </si>
  <si>
    <t>SJK-4, pg. 1, 95-99</t>
  </si>
  <si>
    <t>SJK-4, pg. 1, 27-32</t>
  </si>
  <si>
    <t>SJK-4, pg. 1, 91-94</t>
  </si>
  <si>
    <t>SJK-4, pg. 1, 59-63</t>
  </si>
  <si>
    <t>SJK-4, pg. 1, 73-77</t>
  </si>
  <si>
    <t>SJK-1T, pg. 13, 14</t>
  </si>
  <si>
    <t>SJK-1T, pg. 13, 19</t>
  </si>
  <si>
    <t>SJK-1T, pg. 13, 24</t>
  </si>
  <si>
    <t>SJK-1T, pg. 13, 17</t>
  </si>
  <si>
    <t>SJK-1T, pg. 13, 23-24</t>
  </si>
  <si>
    <t>SJK-1T, pg. 13, 20</t>
  </si>
  <si>
    <t>SJK-1T, pg. 13, 22</t>
  </si>
  <si>
    <t>HLR-6, pg. 1, 5-12</t>
  </si>
  <si>
    <t>HLR-1T, pg. 13, 15</t>
  </si>
  <si>
    <t>HLR-6, pg. 1, 43-48</t>
  </si>
  <si>
    <t>HLR-6, pg. 1, 21-28</t>
  </si>
  <si>
    <t>HLR-6, pg. 1, 49-54</t>
  </si>
  <si>
    <t>HLR-6, pg. 1, 55-59</t>
  </si>
  <si>
    <t>HLR-6, pg. 4, 376-389</t>
  </si>
  <si>
    <t>HLR-6, pg. 2, 141-143</t>
  </si>
  <si>
    <t>HLR-6, pg. 2, 93-97</t>
  </si>
  <si>
    <t>HLR-6, pg. 2, 101-103</t>
  </si>
  <si>
    <t>HLR-6, pg. 2, 104-106</t>
  </si>
  <si>
    <t>HLR-6, pg. 4, 307-326</t>
  </si>
  <si>
    <t>HLR-6, pg. 2, 111-114</t>
  </si>
  <si>
    <t xml:space="preserve">HLR-6, </t>
  </si>
  <si>
    <t>HLR-6, pg. 4, 244-257</t>
  </si>
  <si>
    <t>HLR-6, pg. 4, 290-296</t>
  </si>
  <si>
    <t>HLR-6, pg. 4, 297-303</t>
  </si>
  <si>
    <t>HLR-1T, pg. 13, 20-21</t>
  </si>
  <si>
    <t>HLR-1T, pg. 13, 15-16</t>
  </si>
  <si>
    <t>HLR-1T, pg. 13, 21, 52-53</t>
  </si>
  <si>
    <t>HLR-1T, pg. 52, 59</t>
  </si>
  <si>
    <t>HLR-1T, pg. 32, 38</t>
  </si>
  <si>
    <t>HLR-1T, pg. 32-33</t>
  </si>
  <si>
    <t>HLR-1T, pg. 32-34</t>
  </si>
  <si>
    <t>HLR-1T, pg. 52-53</t>
  </si>
  <si>
    <t>HLR-1T, pg. 32, 35</t>
  </si>
  <si>
    <t>HLR-1T, pg. 32, 36-37</t>
  </si>
  <si>
    <t>HLR-1T, pg. 52-54</t>
  </si>
  <si>
    <t>HLR-1T, pg. 52, 55-56</t>
  </si>
  <si>
    <t>HLR-1T, pg. 52, 56</t>
  </si>
  <si>
    <t>JMK-2, pg. 1, 10-14</t>
  </si>
  <si>
    <t>JMK-1T, pg. 11-12</t>
  </si>
  <si>
    <t>JMK-2, .pg. 1, 38-42</t>
  </si>
  <si>
    <t>JMK-2, pg. 1, 15-20</t>
  </si>
  <si>
    <t>JMK-2, pg. 1-5</t>
  </si>
  <si>
    <t>JMK-2, pg. 1, 6-9</t>
  </si>
  <si>
    <t>JMK-2, pg. 1, 21-23</t>
  </si>
  <si>
    <t>JMK-2, pg. 1, 34-37</t>
  </si>
  <si>
    <t>JMK-1T, pg. 11, 13</t>
  </si>
  <si>
    <t>JMK-1T, pg. 11, 13-14</t>
  </si>
  <si>
    <t>JMK-1T, pg. 11, 15-16</t>
  </si>
  <si>
    <t>Capital Witness</t>
  </si>
  <si>
    <t>Heather L. Rosentrater</t>
  </si>
  <si>
    <t>James M. Kensok</t>
  </si>
  <si>
    <t>Scott J. Kinney</t>
  </si>
  <si>
    <t>HLR-6, pg. 3, 192-198</t>
  </si>
  <si>
    <t>HLR-6, pg. 3, 185-189</t>
  </si>
  <si>
    <t>HLR-6, pg. 4, 390-392</t>
  </si>
  <si>
    <t>HLR-6, pg. 3, 222-227</t>
  </si>
  <si>
    <t>HLR-6, pg. 4, 258-268</t>
  </si>
  <si>
    <t>HLR-1T, pg. 42-43</t>
  </si>
  <si>
    <t>HLR-1T, pg. 59</t>
  </si>
  <si>
    <t>HLR-1T, pg. 42, 47-48</t>
  </si>
  <si>
    <t>HLR-1T, pg. 52, 54</t>
  </si>
  <si>
    <t>JMK-2, pg. 1, 38-42</t>
  </si>
  <si>
    <t>JMK-2, pg. 1, 2-5</t>
  </si>
  <si>
    <r>
      <t xml:space="preserve">5006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</si>
  <si>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5005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</si>
  <si>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5143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</si>
  <si>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5121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</si>
  <si>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7000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</si>
  <si>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5147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</si>
  <si>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7131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</si>
  <si>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7126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</si>
  <si>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5151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</si>
  <si>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7001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</si>
  <si>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7006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</si>
  <si>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5014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</si>
  <si>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7005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</si>
  <si>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7207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</si>
  <si>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5106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</si>
  <si>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5144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</si>
  <si>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7003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</si>
  <si>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7127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</si>
  <si>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7200 </t>
    </r>
    <r>
      <rPr>
        <vertAlign val="superscript"/>
        <sz val="10"/>
        <color theme="1"/>
        <rFont val="Times New Roman"/>
        <family val="1"/>
      </rPr>
      <t>[1]</t>
    </r>
  </si>
  <si>
    <t>[1]</t>
  </si>
  <si>
    <t>These projects are associated with both Electric and Natural Gas service.</t>
  </si>
  <si>
    <r>
      <t xml:space="preserve">2277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</si>
  <si>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7144 </t>
    </r>
    <r>
      <rPr>
        <vertAlign val="superscript"/>
        <sz val="10"/>
        <color theme="1"/>
        <rFont val="Times New Roman"/>
        <family val="1"/>
      </rPr>
      <t>[1]</t>
    </r>
  </si>
  <si>
    <r>
      <t xml:space="preserve">5010 </t>
    </r>
    <r>
      <rPr>
        <vertAlign val="superscript"/>
        <sz val="10"/>
        <color theme="1"/>
        <rFont val="Times New Roman"/>
        <family val="1"/>
      </rPr>
      <t>[1]</t>
    </r>
  </si>
  <si>
    <t>Total Project Amount As Filed for 2017</t>
  </si>
  <si>
    <t>New Substations</t>
  </si>
  <si>
    <t>Distribution Device Management Program</t>
  </si>
  <si>
    <t>10th &amp; Stewart Dx Int</t>
  </si>
  <si>
    <t>Westside 230 kV Substation - Rebuild</t>
  </si>
  <si>
    <t>Garden Springs 230-115 kV Substation</t>
  </si>
  <si>
    <t>South Region Transmission Voltage Control</t>
  </si>
  <si>
    <t>Lind-Warden 115kV Transmission Line Rebuild</t>
  </si>
  <si>
    <t>NSC Greene St HP Gas Main</t>
  </si>
  <si>
    <t>CG HED Automation Replacement</t>
  </si>
  <si>
    <t>Long Lake Plant Upgrades</t>
  </si>
  <si>
    <t>KFGS Reverse Osmosis System</t>
  </si>
  <si>
    <t>Post Falls Redevelopment</t>
  </si>
  <si>
    <t>CG HED - Gantry Crane Replacement</t>
  </si>
  <si>
    <t>Hydro Generation Minor Blanket</t>
  </si>
  <si>
    <t>WSDOT Highway Franchise Consolidation</t>
  </si>
  <si>
    <t>Deer Park Service Center</t>
  </si>
  <si>
    <t>New Airport Hanger</t>
  </si>
  <si>
    <t>Row #</t>
  </si>
  <si>
    <t>Section I: Projects Included By Staff</t>
  </si>
  <si>
    <t>Section II: Incremental Projects Included by Avista on Rebuttal</t>
  </si>
  <si>
    <t>Column Grand Totals</t>
  </si>
  <si>
    <t>Section III: Remaing Projects from Original Filing not Included by Avista on Rebuttal</t>
  </si>
  <si>
    <t xml:space="preserve">    Subtotal - Section III:</t>
  </si>
  <si>
    <t xml:space="preserve">    Subtotal - Section II:</t>
  </si>
  <si>
    <t xml:space="preserve">    Subtotal - Section I:</t>
  </si>
  <si>
    <t>Section I: Projects Included by Staff</t>
  </si>
  <si>
    <t>These projects are associated with both Electric and Natural Gas service. The balances included herein relate solely to the investment costs associated with Natural Gas service.</t>
  </si>
  <si>
    <t>Ergonomic Equipment</t>
  </si>
  <si>
    <r>
      <t xml:space="preserve">7136 </t>
    </r>
    <r>
      <rPr>
        <vertAlign val="superscript"/>
        <sz val="10"/>
        <color theme="1"/>
        <rFont val="Times New Roman"/>
        <family val="1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</si>
</sst>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Fill="1"/>
    <xf numFmtId="0" fontId="3" fillId="0" borderId="0" xfId="0" applyFont="1"/>
    <xf numFmtId="164" fontId="3" fillId="0" borderId="2" xfId="0" applyNumberFormat="1" applyFont="1" applyBorder="1"/>
    <xf numFmtId="164" fontId="3" fillId="0" borderId="0" xfId="0" applyNumberFormat="1" applyFont="1" applyBorder="1"/>
    <xf numFmtId="0" fontId="3" fillId="0" borderId="1" xfId="0" applyFont="1" applyFill="1" applyBorder="1" applyAlignment="1">
      <alignment horizontal="center" wrapText="1"/>
    </xf>
    <xf numFmtId="164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4" fontId="2" fillId="2" borderId="0" xfId="1" applyNumberFormat="1" applyFont="1" applyFill="1"/>
    <xf numFmtId="164" fontId="3" fillId="2" borderId="2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2" xfId="1" applyNumberFormat="1" applyFont="1" applyBorder="1"/>
    <xf numFmtId="164" fontId="2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horizontal="right" vertical="top"/>
    </xf>
    <xf numFmtId="164" fontId="3" fillId="0" borderId="0" xfId="1" applyNumberFormat="1" applyFont="1" applyBorder="1" applyAlignment="1">
      <alignment horizontal="center" wrapText="1"/>
    </xf>
    <xf numFmtId="164" fontId="2" fillId="0" borderId="2" xfId="1" applyNumberFormat="1" applyFont="1" applyFill="1" applyBorder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_%20WA%20Elec%20and%20Gas%20GRC/Rebuttal%20Adjustments%20and%20Support/Capital%20Support/Rebuttal/Unified%20Model%20-%202017%20-%2010.23.2017%20-%20Q4%202017%20update%20(TTP%20through%20Octob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201701 TTPs"/>
      <sheetName val="201701 TTP Reclass"/>
      <sheetName val="Budget"/>
      <sheetName val="Expected Transfers"/>
      <sheetName val="CAP17.3"/>
      <sheetName val="Adjustments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view="pageBreakPreview" zoomScale="80" zoomScaleNormal="100" zoomScaleSheetLayoutView="80" workbookViewId="0"/>
  </sheetViews>
  <sheetFormatPr defaultRowHeight="15" outlineLevelCol="1" x14ac:dyDescent="0.25"/>
  <cols>
    <col min="3" max="3" width="51" customWidth="1"/>
    <col min="4" max="4" width="17" customWidth="1"/>
    <col min="5" max="5" width="16" bestFit="1" customWidth="1"/>
    <col min="6" max="6" width="21.42578125" customWidth="1"/>
    <col min="7" max="7" width="21.42578125" hidden="1" customWidth="1" outlineLevel="1"/>
    <col min="8" max="8" width="21.42578125" customWidth="1" collapsed="1"/>
    <col min="9" max="9" width="23.5703125" bestFit="1" customWidth="1"/>
    <col min="10" max="10" width="25.85546875" bestFit="1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39" x14ac:dyDescent="0.25">
      <c r="A2" s="26" t="s">
        <v>223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205</v>
      </c>
      <c r="G2" s="19" t="s">
        <v>4</v>
      </c>
      <c r="H2" s="3" t="s">
        <v>166</v>
      </c>
      <c r="I2" s="12" t="s">
        <v>107</v>
      </c>
      <c r="J2" s="12" t="s">
        <v>108</v>
      </c>
    </row>
    <row r="3" spans="1:10" ht="7.5" customHeight="1" x14ac:dyDescent="0.25">
      <c r="A3" s="6"/>
      <c r="B3" s="22"/>
      <c r="C3" s="22"/>
      <c r="D3" s="4"/>
      <c r="E3" s="4"/>
      <c r="F3" s="4"/>
      <c r="G3" s="23"/>
      <c r="H3" s="4"/>
      <c r="I3" s="5"/>
      <c r="J3" s="5"/>
    </row>
    <row r="4" spans="1:10" x14ac:dyDescent="0.25">
      <c r="A4" s="6">
        <v>1</v>
      </c>
      <c r="B4" s="9" t="s">
        <v>226</v>
      </c>
      <c r="C4" s="1"/>
      <c r="D4" s="32">
        <f>SUM(D10,D41,D115)</f>
        <v>11242.025</v>
      </c>
      <c r="E4" s="32">
        <f>SUM(E10,E41,E115)</f>
        <v>79076.299503033035</v>
      </c>
      <c r="F4" s="32">
        <f>SUM(F10,F41,F115)</f>
        <v>209451.16894175424</v>
      </c>
      <c r="G4" s="23"/>
      <c r="H4" s="4"/>
      <c r="I4" s="5"/>
      <c r="J4" s="5"/>
    </row>
    <row r="5" spans="1:10" ht="7.5" customHeight="1" x14ac:dyDescent="0.25">
      <c r="A5" s="6"/>
      <c r="B5" s="9"/>
      <c r="C5" s="1"/>
      <c r="D5" s="32"/>
      <c r="E5" s="32"/>
      <c r="F5" s="32"/>
      <c r="G5" s="23"/>
      <c r="H5" s="4"/>
      <c r="I5" s="5"/>
      <c r="J5" s="5"/>
    </row>
    <row r="6" spans="1:10" x14ac:dyDescent="0.25">
      <c r="A6" s="6">
        <f>A4+1</f>
        <v>2</v>
      </c>
      <c r="B6" s="9" t="s">
        <v>231</v>
      </c>
      <c r="C6" s="1"/>
      <c r="D6" s="32"/>
      <c r="E6" s="32"/>
      <c r="F6" s="32"/>
      <c r="G6" s="23"/>
      <c r="H6" s="4"/>
      <c r="I6" s="5"/>
      <c r="J6" s="5"/>
    </row>
    <row r="7" spans="1:10" x14ac:dyDescent="0.25">
      <c r="A7" s="6">
        <f t="shared" ref="A7:A41" si="0">A6+1</f>
        <v>3</v>
      </c>
      <c r="B7" s="6">
        <v>2470</v>
      </c>
      <c r="C7" s="1" t="s">
        <v>6</v>
      </c>
      <c r="D7" s="7">
        <f>7153319/1000</f>
        <v>7153.3190000000004</v>
      </c>
      <c r="E7" s="7">
        <f>9767784.405062/1000</f>
        <v>9767.7844050619988</v>
      </c>
      <c r="F7" s="7">
        <f>9835159.12/1000</f>
        <v>9835.1591199999984</v>
      </c>
      <c r="G7" s="20">
        <v>10648973.765061999</v>
      </c>
      <c r="H7" s="7" t="s">
        <v>167</v>
      </c>
      <c r="I7" s="7" t="s">
        <v>125</v>
      </c>
      <c r="J7" s="1" t="s">
        <v>126</v>
      </c>
    </row>
    <row r="8" spans="1:10" ht="16.5" x14ac:dyDescent="0.25">
      <c r="A8" s="6">
        <f t="shared" si="0"/>
        <v>4</v>
      </c>
      <c r="B8" s="6" t="s">
        <v>182</v>
      </c>
      <c r="C8" s="1" t="s">
        <v>9</v>
      </c>
      <c r="D8" s="7">
        <f>3144403/1000</f>
        <v>3144.4029999999998</v>
      </c>
      <c r="E8" s="8">
        <f>5126847.47962513/1000</f>
        <v>5126.8474796251303</v>
      </c>
      <c r="F8" s="7">
        <f>10318833.1937306/1000</f>
        <v>10318.833193730599</v>
      </c>
      <c r="G8" s="20">
        <f>7337523.27867727</f>
        <v>7337523.2786772698</v>
      </c>
      <c r="H8" s="7" t="s">
        <v>168</v>
      </c>
      <c r="I8" s="7" t="s">
        <v>155</v>
      </c>
      <c r="J8" s="1" t="s">
        <v>156</v>
      </c>
    </row>
    <row r="9" spans="1:10" x14ac:dyDescent="0.25">
      <c r="A9" s="6">
        <f t="shared" si="0"/>
        <v>5</v>
      </c>
      <c r="B9" s="6">
        <v>2204</v>
      </c>
      <c r="C9" s="1" t="s">
        <v>16</v>
      </c>
      <c r="D9" s="7">
        <f>944303/1000</f>
        <v>944.303</v>
      </c>
      <c r="E9" s="8">
        <f>1245418.284798/1000</f>
        <v>1245.4182847980001</v>
      </c>
      <c r="F9" s="7">
        <f>10413641.0735451/1000</f>
        <v>10413.641073545101</v>
      </c>
      <c r="G9" s="20">
        <v>4711780.284798</v>
      </c>
      <c r="H9" s="7" t="s">
        <v>167</v>
      </c>
      <c r="I9" s="7" t="s">
        <v>127</v>
      </c>
      <c r="J9" s="1" t="s">
        <v>142</v>
      </c>
    </row>
    <row r="10" spans="1:10" x14ac:dyDescent="0.25">
      <c r="A10" s="6">
        <f t="shared" si="0"/>
        <v>6</v>
      </c>
      <c r="B10" s="6"/>
      <c r="C10" s="9" t="s">
        <v>230</v>
      </c>
      <c r="D10" s="28">
        <f>SUM(D7:D9)</f>
        <v>11242.025</v>
      </c>
      <c r="E10" s="33">
        <f>SUM(E7:E9)</f>
        <v>16140.05016948513</v>
      </c>
      <c r="F10" s="28">
        <f>SUM(F7:F9)</f>
        <v>30567.633387275695</v>
      </c>
      <c r="G10" s="20"/>
      <c r="H10" s="7"/>
      <c r="I10" s="1"/>
      <c r="J10" s="1"/>
    </row>
    <row r="11" spans="1:10" ht="7.5" customHeight="1" x14ac:dyDescent="0.25">
      <c r="A11" s="6"/>
      <c r="B11" s="6"/>
      <c r="C11" s="9"/>
      <c r="D11" s="34"/>
      <c r="E11" s="8"/>
      <c r="F11" s="7"/>
      <c r="G11" s="20"/>
      <c r="H11" s="7"/>
      <c r="I11" s="1"/>
      <c r="J11" s="1"/>
    </row>
    <row r="12" spans="1:10" x14ac:dyDescent="0.25">
      <c r="A12" s="6">
        <f>A10+1</f>
        <v>7</v>
      </c>
      <c r="B12" s="27" t="s">
        <v>225</v>
      </c>
      <c r="C12" s="9"/>
      <c r="D12" s="34"/>
      <c r="E12" s="8"/>
      <c r="F12" s="7"/>
      <c r="G12" s="20"/>
      <c r="H12" s="7"/>
      <c r="I12" s="1"/>
      <c r="J12" s="1"/>
    </row>
    <row r="13" spans="1:10" x14ac:dyDescent="0.25">
      <c r="A13" s="6">
        <f t="shared" ref="A13:A40" si="1">A12+1</f>
        <v>8</v>
      </c>
      <c r="B13" s="6">
        <v>4152</v>
      </c>
      <c r="C13" s="1" t="s">
        <v>12</v>
      </c>
      <c r="D13" s="7"/>
      <c r="E13" s="8">
        <f>6721312.832169/1000</f>
        <v>6721.3128321690001</v>
      </c>
      <c r="F13" s="7">
        <f>6889112.285139/1000</f>
        <v>6889.1122851390001</v>
      </c>
      <c r="G13" s="20">
        <v>7115692.8321690001</v>
      </c>
      <c r="H13" s="7" t="s">
        <v>169</v>
      </c>
      <c r="I13" s="7" t="s">
        <v>111</v>
      </c>
      <c r="J13" s="1" t="s">
        <v>118</v>
      </c>
    </row>
    <row r="14" spans="1:10" x14ac:dyDescent="0.25">
      <c r="A14" s="6">
        <f t="shared" si="1"/>
        <v>9</v>
      </c>
      <c r="B14" s="6">
        <v>2055</v>
      </c>
      <c r="C14" s="1" t="s">
        <v>10</v>
      </c>
      <c r="D14" s="7"/>
      <c r="E14" s="8">
        <f>5716551.558493/1000</f>
        <v>5716.5515584930008</v>
      </c>
      <c r="F14" s="7">
        <f>5971273.73197426/1000</f>
        <v>5971.27373197426</v>
      </c>
      <c r="G14" s="20">
        <v>7330348.1584929992</v>
      </c>
      <c r="H14" s="7" t="s">
        <v>167</v>
      </c>
      <c r="I14" s="7" t="s">
        <v>129</v>
      </c>
      <c r="J14" s="1" t="s">
        <v>142</v>
      </c>
    </row>
    <row r="15" spans="1:10" ht="16.5" x14ac:dyDescent="0.25">
      <c r="A15" s="6">
        <f t="shared" si="1"/>
        <v>10</v>
      </c>
      <c r="B15" s="6" t="s">
        <v>183</v>
      </c>
      <c r="C15" s="1" t="s">
        <v>14</v>
      </c>
      <c r="D15" s="7"/>
      <c r="E15" s="8">
        <f>5693297.90390733/1000</f>
        <v>5693.2979039073298</v>
      </c>
      <c r="F15" s="7">
        <f>4427722.8934802/1000</f>
        <v>4427.7228934802006</v>
      </c>
      <c r="G15" s="20">
        <v>5800234.6924499301</v>
      </c>
      <c r="H15" s="7" t="s">
        <v>168</v>
      </c>
      <c r="I15" s="7" t="s">
        <v>158</v>
      </c>
      <c r="J15" s="1" t="s">
        <v>163</v>
      </c>
    </row>
    <row r="16" spans="1:10" x14ac:dyDescent="0.25">
      <c r="A16" s="6">
        <f t="shared" si="1"/>
        <v>11</v>
      </c>
      <c r="B16" s="6">
        <v>2060</v>
      </c>
      <c r="C16" s="1" t="s">
        <v>11</v>
      </c>
      <c r="D16" s="7"/>
      <c r="E16" s="8">
        <f>5593732.41/1000</f>
        <v>5593.7324100000005</v>
      </c>
      <c r="F16" s="7">
        <f>6960510/1000</f>
        <v>6960.51</v>
      </c>
      <c r="G16" s="20">
        <v>7184132.4100000001</v>
      </c>
      <c r="H16" s="7" t="s">
        <v>167</v>
      </c>
      <c r="I16" s="7" t="s">
        <v>128</v>
      </c>
      <c r="J16" s="1" t="s">
        <v>143</v>
      </c>
    </row>
    <row r="17" spans="1:10" ht="16.5" x14ac:dyDescent="0.25">
      <c r="A17" s="6">
        <f t="shared" si="1"/>
        <v>12</v>
      </c>
      <c r="B17" s="6" t="s">
        <v>181</v>
      </c>
      <c r="C17" s="1" t="s">
        <v>7</v>
      </c>
      <c r="D17" s="7"/>
      <c r="E17" s="8">
        <f>3994701.78584064/1000</f>
        <v>3994.7017858406398</v>
      </c>
      <c r="F17" s="7">
        <f>6788703.91657377/1000</f>
        <v>6788.7039165737706</v>
      </c>
      <c r="G17" s="20">
        <f>8751521.16706638</f>
        <v>8751521.1670663804</v>
      </c>
      <c r="H17" s="7" t="s">
        <v>168</v>
      </c>
      <c r="I17" s="7" t="s">
        <v>157</v>
      </c>
      <c r="J17" s="1" t="s">
        <v>156</v>
      </c>
    </row>
    <row r="18" spans="1:10" x14ac:dyDescent="0.25">
      <c r="A18" s="6">
        <f t="shared" si="1"/>
        <v>13</v>
      </c>
      <c r="B18" s="6">
        <v>4116</v>
      </c>
      <c r="C18" s="1" t="s">
        <v>13</v>
      </c>
      <c r="D18" s="7"/>
      <c r="E18" s="8">
        <f>3679269.401093/1000</f>
        <v>3679.2694010929999</v>
      </c>
      <c r="F18" s="7">
        <f>6244350/1000</f>
        <v>6244.35</v>
      </c>
      <c r="G18" s="20">
        <v>6255885.4010930005</v>
      </c>
      <c r="H18" s="7" t="s">
        <v>169</v>
      </c>
      <c r="I18" s="7" t="s">
        <v>109</v>
      </c>
      <c r="J18" s="1" t="s">
        <v>110</v>
      </c>
    </row>
    <row r="19" spans="1:10" x14ac:dyDescent="0.25">
      <c r="A19" s="6">
        <f t="shared" si="1"/>
        <v>14</v>
      </c>
      <c r="B19" s="6">
        <v>2423</v>
      </c>
      <c r="C19" s="1" t="s">
        <v>28</v>
      </c>
      <c r="D19" s="7"/>
      <c r="E19" s="8">
        <f>3014046.91518/1000</f>
        <v>3014.0469151799998</v>
      </c>
      <c r="F19" s="7">
        <f>3039255.36/1000</f>
        <v>3039.2553599999997</v>
      </c>
      <c r="G19" s="20">
        <v>3014046.91518</v>
      </c>
      <c r="H19" s="7" t="s">
        <v>167</v>
      </c>
      <c r="I19" s="7" t="s">
        <v>135</v>
      </c>
      <c r="J19" s="1" t="s">
        <v>147</v>
      </c>
    </row>
    <row r="20" spans="1:10" ht="16.5" x14ac:dyDescent="0.25">
      <c r="A20" s="6">
        <f t="shared" si="1"/>
        <v>15</v>
      </c>
      <c r="B20" s="6" t="s">
        <v>185</v>
      </c>
      <c r="C20" s="1" t="s">
        <v>19</v>
      </c>
      <c r="D20" s="7"/>
      <c r="E20" s="8">
        <f>2959449.61818654/1000</f>
        <v>2959.4496181865402</v>
      </c>
      <c r="F20" s="7">
        <f>3845757.12398597/1000</f>
        <v>3845.7571239859699</v>
      </c>
      <c r="G20" s="20">
        <v>4000573.272960539</v>
      </c>
      <c r="H20" s="7" t="s">
        <v>167</v>
      </c>
      <c r="I20" s="7" t="s">
        <v>131</v>
      </c>
      <c r="J20" s="1" t="s">
        <v>145</v>
      </c>
    </row>
    <row r="21" spans="1:10" x14ac:dyDescent="0.25">
      <c r="A21" s="6">
        <f t="shared" si="1"/>
        <v>16</v>
      </c>
      <c r="B21" s="6">
        <v>4172</v>
      </c>
      <c r="C21" s="1" t="s">
        <v>30</v>
      </c>
      <c r="D21" s="7"/>
      <c r="E21" s="8">
        <f>2557274.658288/1000</f>
        <v>2557.274658288</v>
      </c>
      <c r="F21" s="7">
        <f>4151574.561057/1000</f>
        <v>4151.5745610570002</v>
      </c>
      <c r="G21" s="20">
        <v>2557274.6582880002</v>
      </c>
      <c r="H21" s="7" t="s">
        <v>169</v>
      </c>
      <c r="I21" s="7" t="s">
        <v>114</v>
      </c>
      <c r="J21" s="1" t="s">
        <v>121</v>
      </c>
    </row>
    <row r="22" spans="1:10" x14ac:dyDescent="0.25">
      <c r="A22" s="6">
        <f t="shared" si="1"/>
        <v>17</v>
      </c>
      <c r="B22" s="6">
        <v>4148</v>
      </c>
      <c r="C22" s="1" t="s">
        <v>18</v>
      </c>
      <c r="D22" s="7"/>
      <c r="E22" s="8">
        <f>2489387.123622/1000</f>
        <v>2489.3871236220002</v>
      </c>
      <c r="F22" s="7">
        <f>4029866.862/1000</f>
        <v>4029.8668620000003</v>
      </c>
      <c r="G22" s="20">
        <v>4260037.6388219995</v>
      </c>
      <c r="H22" s="7" t="s">
        <v>169</v>
      </c>
      <c r="I22" s="7" t="s">
        <v>113</v>
      </c>
      <c r="J22" s="1" t="s">
        <v>120</v>
      </c>
    </row>
    <row r="23" spans="1:10" x14ac:dyDescent="0.25">
      <c r="A23" s="6">
        <f t="shared" si="1"/>
        <v>18</v>
      </c>
      <c r="B23" s="6">
        <v>2057</v>
      </c>
      <c r="C23" s="1" t="s">
        <v>26</v>
      </c>
      <c r="D23" s="7"/>
      <c r="E23" s="8">
        <f>2484808.192079/1000</f>
        <v>2484.808192079</v>
      </c>
      <c r="F23" s="7">
        <f>3225313.64474177/1000</f>
        <v>3225.3136447417701</v>
      </c>
      <c r="G23" s="20">
        <v>3047425.4416789999</v>
      </c>
      <c r="H23" s="7" t="s">
        <v>167</v>
      </c>
      <c r="I23" s="7" t="s">
        <v>134</v>
      </c>
      <c r="J23" s="1" t="s">
        <v>148</v>
      </c>
    </row>
    <row r="24" spans="1:10" x14ac:dyDescent="0.25">
      <c r="A24" s="6">
        <f t="shared" si="1"/>
        <v>19</v>
      </c>
      <c r="B24" s="6">
        <v>2215</v>
      </c>
      <c r="C24" s="1" t="s">
        <v>22</v>
      </c>
      <c r="D24" s="7"/>
      <c r="E24" s="8">
        <f>2413649.2652785/1000</f>
        <v>2413.6492652785</v>
      </c>
      <c r="F24" s="7">
        <f>3997207.15898478/1000</f>
        <v>3997.2071589847797</v>
      </c>
      <c r="G24" s="20">
        <v>3338892.4729585005</v>
      </c>
      <c r="H24" s="7" t="s">
        <v>167</v>
      </c>
      <c r="I24" s="7" t="s">
        <v>133</v>
      </c>
      <c r="J24" s="1" t="s">
        <v>147</v>
      </c>
    </row>
    <row r="25" spans="1:10" x14ac:dyDescent="0.25">
      <c r="A25" s="6">
        <f t="shared" si="1"/>
        <v>20</v>
      </c>
      <c r="B25" s="6">
        <v>2051</v>
      </c>
      <c r="C25" s="1" t="s">
        <v>31</v>
      </c>
      <c r="D25" s="7"/>
      <c r="E25" s="8">
        <f>2284162.235838/1000</f>
        <v>2284.162235838</v>
      </c>
      <c r="F25" s="7">
        <f>697329.57/1000</f>
        <v>697.32956999999999</v>
      </c>
      <c r="G25" s="20">
        <v>2349892.2358380002</v>
      </c>
      <c r="H25" s="7" t="s">
        <v>167</v>
      </c>
      <c r="I25" s="7" t="s">
        <v>137</v>
      </c>
      <c r="J25" s="1" t="s">
        <v>150</v>
      </c>
    </row>
    <row r="26" spans="1:10" x14ac:dyDescent="0.25">
      <c r="A26" s="6">
        <f t="shared" si="1"/>
        <v>21</v>
      </c>
      <c r="B26" s="6">
        <v>2457</v>
      </c>
      <c r="C26" s="1" t="s">
        <v>32</v>
      </c>
      <c r="D26" s="7"/>
      <c r="E26" s="8">
        <f>2176958.617176/1000</f>
        <v>2176.9586171760002</v>
      </c>
      <c r="F26" s="7">
        <f>2629200/1000</f>
        <v>2629.2</v>
      </c>
      <c r="G26" s="20">
        <v>2176958.617176</v>
      </c>
      <c r="H26" s="7" t="s">
        <v>167</v>
      </c>
      <c r="I26" s="7" t="s">
        <v>138</v>
      </c>
      <c r="J26" s="1" t="s">
        <v>151</v>
      </c>
    </row>
    <row r="27" spans="1:10" ht="16.5" x14ac:dyDescent="0.25">
      <c r="A27" s="6">
        <f t="shared" si="1"/>
        <v>22</v>
      </c>
      <c r="B27" s="6" t="s">
        <v>184</v>
      </c>
      <c r="C27" s="1" t="s">
        <v>17</v>
      </c>
      <c r="D27" s="7"/>
      <c r="E27" s="8">
        <f>2172373.52011506/1000</f>
        <v>2172.3735201150598</v>
      </c>
      <c r="F27" s="7">
        <f>2591726.95081755/1000</f>
        <v>2591.72695081755</v>
      </c>
      <c r="G27" s="20">
        <f>4503621.50331506-G98</f>
        <v>4378812.0568592222</v>
      </c>
      <c r="H27" s="7" t="s">
        <v>168</v>
      </c>
      <c r="I27" s="7" t="s">
        <v>159</v>
      </c>
      <c r="J27" s="1" t="s">
        <v>156</v>
      </c>
    </row>
    <row r="28" spans="1:10" x14ac:dyDescent="0.25">
      <c r="A28" s="6">
        <f t="shared" si="1"/>
        <v>23</v>
      </c>
      <c r="B28" s="6">
        <v>4171</v>
      </c>
      <c r="C28" s="1" t="s">
        <v>38</v>
      </c>
      <c r="D28" s="7"/>
      <c r="E28" s="8">
        <f>1709270.182308/1000</f>
        <v>1709.2701823080001</v>
      </c>
      <c r="F28" s="7">
        <f>1645244.9055/1000</f>
        <v>1645.2449055000002</v>
      </c>
      <c r="G28" s="20">
        <v>1709270.182308</v>
      </c>
      <c r="H28" s="7" t="s">
        <v>169</v>
      </c>
      <c r="I28" s="7" t="s">
        <v>116</v>
      </c>
      <c r="J28" s="1" t="s">
        <v>123</v>
      </c>
    </row>
    <row r="29" spans="1:10" ht="16.5" x14ac:dyDescent="0.25">
      <c r="A29" s="6">
        <f t="shared" si="1"/>
        <v>24</v>
      </c>
      <c r="B29" s="6" t="s">
        <v>187</v>
      </c>
      <c r="C29" s="1" t="s">
        <v>27</v>
      </c>
      <c r="D29" s="7"/>
      <c r="E29" s="8">
        <f>1521044.05578711/1000</f>
        <v>1521.04405578711</v>
      </c>
      <c r="F29" s="7">
        <f>6668593.51978818/1000</f>
        <v>6668.5935197881799</v>
      </c>
      <c r="G29" s="20">
        <f>3033815.58218711-G77</f>
        <v>1994374.1400991101</v>
      </c>
      <c r="H29" s="7" t="s">
        <v>167</v>
      </c>
      <c r="I29" s="7" t="s">
        <v>136</v>
      </c>
      <c r="J29" s="1" t="s">
        <v>149</v>
      </c>
    </row>
    <row r="30" spans="1:10" x14ac:dyDescent="0.25">
      <c r="A30" s="6">
        <f t="shared" si="1"/>
        <v>25</v>
      </c>
      <c r="B30" s="6">
        <v>4149</v>
      </c>
      <c r="C30" s="1" t="s">
        <v>36</v>
      </c>
      <c r="D30" s="7"/>
      <c r="E30" s="8">
        <f>1506676.889647/1000</f>
        <v>1506.6768896470001</v>
      </c>
      <c r="F30" s="7">
        <f>1639448.288541/1000</f>
        <v>1639.448288541</v>
      </c>
      <c r="G30" s="20">
        <v>1813060.1948469998</v>
      </c>
      <c r="H30" s="7" t="s">
        <v>169</v>
      </c>
      <c r="I30" s="7" t="s">
        <v>115</v>
      </c>
      <c r="J30" s="1" t="s">
        <v>122</v>
      </c>
    </row>
    <row r="31" spans="1:10" ht="16.5" x14ac:dyDescent="0.25">
      <c r="A31" s="6">
        <f t="shared" si="1"/>
        <v>26</v>
      </c>
      <c r="B31" s="6" t="s">
        <v>188</v>
      </c>
      <c r="C31" s="1" t="s">
        <v>40</v>
      </c>
      <c r="D31" s="7"/>
      <c r="E31" s="8">
        <f>1472344.04192425/1000</f>
        <v>1472.3440419242502</v>
      </c>
      <c r="F31" s="7">
        <f>1004866.44497907/1000</f>
        <v>1004.86644497907</v>
      </c>
      <c r="G31" s="20">
        <v>1472344.0419242501</v>
      </c>
      <c r="H31" s="7" t="s">
        <v>167</v>
      </c>
      <c r="I31" s="7" t="s">
        <v>139</v>
      </c>
      <c r="J31" s="1" t="s">
        <v>152</v>
      </c>
    </row>
    <row r="32" spans="1:10" ht="16.5" x14ac:dyDescent="0.25">
      <c r="A32" s="6">
        <f t="shared" si="1"/>
        <v>27</v>
      </c>
      <c r="B32" s="6" t="s">
        <v>191</v>
      </c>
      <c r="C32" s="1" t="s">
        <v>50</v>
      </c>
      <c r="D32" s="7"/>
      <c r="E32" s="7">
        <f>956281.833754894/1000</f>
        <v>956.28183375489402</v>
      </c>
      <c r="F32" s="7">
        <f>959805.297618578/1000</f>
        <v>959.80529761857792</v>
      </c>
      <c r="G32" s="20">
        <v>956281.83375489351</v>
      </c>
      <c r="H32" s="7" t="s">
        <v>167</v>
      </c>
      <c r="I32" s="7" t="s">
        <v>141</v>
      </c>
      <c r="J32" s="1" t="s">
        <v>154</v>
      </c>
    </row>
    <row r="33" spans="1:10" x14ac:dyDescent="0.25">
      <c r="A33" s="6">
        <f t="shared" si="1"/>
        <v>28</v>
      </c>
      <c r="B33" s="6">
        <v>4182</v>
      </c>
      <c r="C33" s="1" t="s">
        <v>61</v>
      </c>
      <c r="D33" s="7"/>
      <c r="E33" s="7">
        <f>478212.797895/1000</f>
        <v>478.21279789500005</v>
      </c>
      <c r="F33" s="7">
        <f>535262.960778/1000</f>
        <v>535.26296077799998</v>
      </c>
      <c r="G33" s="20">
        <v>478212.79789500003</v>
      </c>
      <c r="H33" s="7" t="s">
        <v>169</v>
      </c>
      <c r="I33" s="7" t="s">
        <v>117</v>
      </c>
      <c r="J33" s="1" t="s">
        <v>124</v>
      </c>
    </row>
    <row r="34" spans="1:10" ht="16.5" x14ac:dyDescent="0.25">
      <c r="A34" s="6">
        <f t="shared" si="1"/>
        <v>29</v>
      </c>
      <c r="B34" s="6" t="s">
        <v>192</v>
      </c>
      <c r="C34" s="1" t="s">
        <v>33</v>
      </c>
      <c r="D34" s="7"/>
      <c r="E34" s="8">
        <f>450575.871544072/1000</f>
        <v>450.57587154407202</v>
      </c>
      <c r="F34" s="7">
        <f>1858050.82454971/1000</f>
        <v>1858.0508245497099</v>
      </c>
      <c r="G34" s="20">
        <f>2127145.23133247-G53</f>
        <v>-1698498.5206675297</v>
      </c>
      <c r="H34" s="7" t="s">
        <v>168</v>
      </c>
      <c r="I34" s="7" t="s">
        <v>162</v>
      </c>
      <c r="J34" s="1" t="s">
        <v>165</v>
      </c>
    </row>
    <row r="35" spans="1:10" x14ac:dyDescent="0.25">
      <c r="A35" s="6">
        <f t="shared" si="1"/>
        <v>30</v>
      </c>
      <c r="B35" s="6">
        <v>4140</v>
      </c>
      <c r="C35" s="1" t="s">
        <v>8</v>
      </c>
      <c r="D35" s="7"/>
      <c r="E35" s="8">
        <f>408400.914315/1000</f>
        <v>408.40091431500002</v>
      </c>
      <c r="F35" s="7">
        <f>6261768.108204/1000</f>
        <v>6261.7681082039999</v>
      </c>
      <c r="G35" s="20">
        <f>8301481.97683451</f>
        <v>8301481.9768345105</v>
      </c>
      <c r="H35" s="7" t="s">
        <v>169</v>
      </c>
      <c r="I35" s="7" t="s">
        <v>112</v>
      </c>
      <c r="J35" s="1" t="s">
        <v>119</v>
      </c>
    </row>
    <row r="36" spans="1:10" ht="16.5" x14ac:dyDescent="0.25">
      <c r="A36" s="6">
        <f t="shared" si="1"/>
        <v>31</v>
      </c>
      <c r="B36" s="6" t="s">
        <v>189</v>
      </c>
      <c r="C36" s="1" t="s">
        <v>41</v>
      </c>
      <c r="D36" s="7"/>
      <c r="E36" s="8">
        <f>382049.704721678/1000</f>
        <v>382.04970472167798</v>
      </c>
      <c r="F36" s="7">
        <f>891256.79523273/1000</f>
        <v>891.25679523273004</v>
      </c>
      <c r="G36" s="20">
        <v>1377163.2000609981</v>
      </c>
      <c r="H36" s="7" t="s">
        <v>168</v>
      </c>
      <c r="I36" s="7" t="s">
        <v>161</v>
      </c>
      <c r="J36" s="1" t="s">
        <v>164</v>
      </c>
    </row>
    <row r="37" spans="1:10" ht="16.5" x14ac:dyDescent="0.25">
      <c r="A37" s="6">
        <f t="shared" si="1"/>
        <v>32</v>
      </c>
      <c r="B37" s="6" t="s">
        <v>186</v>
      </c>
      <c r="C37" s="1" t="s">
        <v>24</v>
      </c>
      <c r="D37" s="7"/>
      <c r="E37" s="8">
        <f>247242.267498354/1000</f>
        <v>247.24226749835398</v>
      </c>
      <c r="F37" s="7">
        <f>2935959.71301104/1000</f>
        <v>2935.9597130110401</v>
      </c>
      <c r="G37" s="20">
        <v>3180684.1418475057</v>
      </c>
      <c r="H37" s="7" t="s">
        <v>168</v>
      </c>
      <c r="I37" s="7" t="s">
        <v>160</v>
      </c>
      <c r="J37" s="1" t="s">
        <v>163</v>
      </c>
    </row>
    <row r="38" spans="1:10" ht="16.5" x14ac:dyDescent="0.25">
      <c r="A38" s="6">
        <f t="shared" si="1"/>
        <v>33</v>
      </c>
      <c r="B38" s="6" t="s">
        <v>190</v>
      </c>
      <c r="C38" s="1" t="s">
        <v>42</v>
      </c>
      <c r="D38" s="7"/>
      <c r="E38" s="8">
        <f>82868.8463214611/1000</f>
        <v>82.868846321461092</v>
      </c>
      <c r="F38" s="7">
        <f>1453231.53549478/1000</f>
        <v>1453.23153549478</v>
      </c>
      <c r="G38" s="20">
        <f>1335299.80386496-G73</f>
        <v>810120.5481169601</v>
      </c>
      <c r="H38" s="7" t="s">
        <v>167</v>
      </c>
      <c r="I38" s="7" t="s">
        <v>140</v>
      </c>
      <c r="J38" s="1" t="s">
        <v>153</v>
      </c>
    </row>
    <row r="39" spans="1:10" x14ac:dyDescent="0.25">
      <c r="A39" s="6">
        <f t="shared" si="1"/>
        <v>34</v>
      </c>
      <c r="B39" s="6">
        <v>7139</v>
      </c>
      <c r="C39" s="1" t="s">
        <v>23</v>
      </c>
      <c r="D39" s="7"/>
      <c r="E39" s="8">
        <f>0/1000</f>
        <v>0</v>
      </c>
      <c r="F39" s="7">
        <f>5147562.96138/1000</f>
        <v>5147.5629613800002</v>
      </c>
      <c r="G39" s="20">
        <v>6855021.1261647539</v>
      </c>
      <c r="H39" s="7" t="s">
        <v>167</v>
      </c>
      <c r="I39" s="7" t="s">
        <v>130</v>
      </c>
      <c r="J39" s="1" t="s">
        <v>144</v>
      </c>
    </row>
    <row r="40" spans="1:10" x14ac:dyDescent="0.25">
      <c r="A40" s="6">
        <f t="shared" si="1"/>
        <v>35</v>
      </c>
      <c r="B40" s="6">
        <v>2564</v>
      </c>
      <c r="C40" s="1" t="s">
        <v>21</v>
      </c>
      <c r="D40" s="7"/>
      <c r="E40" s="8">
        <f>-229694.109435/1000</f>
        <v>-229.694109435</v>
      </c>
      <c r="F40" s="7">
        <f>3144841.9905/1000</f>
        <v>3144.8419905000001</v>
      </c>
      <c r="G40" s="20">
        <v>3363745.9288650001</v>
      </c>
      <c r="H40" s="7" t="s">
        <v>167</v>
      </c>
      <c r="I40" s="7" t="s">
        <v>132</v>
      </c>
      <c r="J40" s="1" t="s">
        <v>146</v>
      </c>
    </row>
    <row r="41" spans="1:10" x14ac:dyDescent="0.25">
      <c r="A41" s="6">
        <f t="shared" si="0"/>
        <v>36</v>
      </c>
      <c r="B41" s="6"/>
      <c r="C41" s="30" t="s">
        <v>229</v>
      </c>
      <c r="D41" s="28">
        <f>SUM(D13:D40)</f>
        <v>0</v>
      </c>
      <c r="E41" s="28">
        <f>SUM(E13:E40)</f>
        <v>62936.249333547908</v>
      </c>
      <c r="F41" s="28">
        <f>SUM(F13:F40)</f>
        <v>99634.797404331373</v>
      </c>
      <c r="G41" s="20"/>
      <c r="H41" s="7"/>
      <c r="I41" s="1"/>
      <c r="J41" s="1"/>
    </row>
    <row r="42" spans="1:10" ht="7.5" customHeight="1" x14ac:dyDescent="0.25">
      <c r="A42" s="6"/>
      <c r="B42" s="6"/>
      <c r="C42" s="30"/>
      <c r="D42" s="8"/>
      <c r="E42" s="35"/>
      <c r="F42" s="8"/>
      <c r="G42" s="8"/>
      <c r="H42" s="7"/>
      <c r="I42" s="1"/>
      <c r="J42" s="1"/>
    </row>
    <row r="43" spans="1:10" x14ac:dyDescent="0.25">
      <c r="A43" s="6">
        <f>A41+1</f>
        <v>37</v>
      </c>
      <c r="B43" s="27" t="s">
        <v>227</v>
      </c>
      <c r="C43" s="9"/>
      <c r="D43" s="7"/>
      <c r="E43" s="34"/>
      <c r="F43" s="7"/>
      <c r="G43" s="20"/>
      <c r="H43" s="7"/>
      <c r="I43" s="1"/>
      <c r="J43" s="1"/>
    </row>
    <row r="44" spans="1:10" x14ac:dyDescent="0.25">
      <c r="A44" s="6">
        <f t="shared" ref="A44:A75" si="2">A43+1</f>
        <v>38</v>
      </c>
      <c r="B44" s="6">
        <v>1000</v>
      </c>
      <c r="C44" s="1" t="s">
        <v>5</v>
      </c>
      <c r="D44" s="7"/>
      <c r="E44" s="7"/>
      <c r="F44" s="7">
        <f>10697471.4315433/1000</f>
        <v>10697.471431543299</v>
      </c>
      <c r="G44" s="20">
        <v>14074519.719057003</v>
      </c>
      <c r="H44" s="7" t="s">
        <v>167</v>
      </c>
      <c r="I44" s="1"/>
      <c r="J44" s="1"/>
    </row>
    <row r="45" spans="1:10" x14ac:dyDescent="0.25">
      <c r="A45" s="6">
        <f t="shared" si="2"/>
        <v>39</v>
      </c>
      <c r="B45" s="6">
        <v>6103</v>
      </c>
      <c r="C45" s="1" t="s">
        <v>37</v>
      </c>
      <c r="D45" s="7"/>
      <c r="E45" s="7"/>
      <c r="F45" s="7">
        <f>4794047.844957/1000</f>
        <v>4794.0478449570001</v>
      </c>
      <c r="G45" s="20">
        <v>1744094.0263509999</v>
      </c>
      <c r="H45" s="7" t="s">
        <v>169</v>
      </c>
      <c r="I45" s="1"/>
      <c r="J45" s="1"/>
    </row>
    <row r="46" spans="1:10" x14ac:dyDescent="0.25">
      <c r="A46" s="6">
        <f t="shared" si="2"/>
        <v>40</v>
      </c>
      <c r="B46" s="6">
        <v>1003</v>
      </c>
      <c r="C46" s="1" t="s">
        <v>15</v>
      </c>
      <c r="D46" s="7"/>
      <c r="E46" s="7"/>
      <c r="F46" s="7">
        <f>4509632.862168/1000</f>
        <v>4509.6328621680004</v>
      </c>
      <c r="G46" s="20">
        <v>4932703.9979999997</v>
      </c>
      <c r="H46" s="7" t="s">
        <v>167</v>
      </c>
      <c r="I46" s="1"/>
      <c r="J46" s="1"/>
    </row>
    <row r="47" spans="1:10" x14ac:dyDescent="0.25">
      <c r="A47" s="6">
        <f t="shared" si="2"/>
        <v>41</v>
      </c>
      <c r="B47" s="6">
        <v>2580</v>
      </c>
      <c r="C47" s="1" t="s">
        <v>211</v>
      </c>
      <c r="D47" s="7"/>
      <c r="E47" s="7"/>
      <c r="F47" s="7">
        <f>3768039.2946/1000</f>
        <v>3768.0392946000002</v>
      </c>
      <c r="G47" s="20"/>
      <c r="H47" s="7" t="s">
        <v>167</v>
      </c>
      <c r="I47" s="1"/>
      <c r="J47" s="1"/>
    </row>
    <row r="48" spans="1:10" x14ac:dyDescent="0.25">
      <c r="A48" s="6">
        <f t="shared" si="2"/>
        <v>42</v>
      </c>
      <c r="B48" s="6">
        <v>2531</v>
      </c>
      <c r="C48" s="1" t="s">
        <v>209</v>
      </c>
      <c r="D48" s="7"/>
      <c r="E48" s="7"/>
      <c r="F48" s="7">
        <f>3658226.424993/1000</f>
        <v>3658.2264249929999</v>
      </c>
      <c r="G48" s="20"/>
      <c r="H48" s="7" t="s">
        <v>167</v>
      </c>
      <c r="I48" s="1"/>
      <c r="J48" s="1"/>
    </row>
    <row r="49" spans="1:10" x14ac:dyDescent="0.25">
      <c r="A49" s="6">
        <f t="shared" si="2"/>
        <v>43</v>
      </c>
      <c r="B49" s="6">
        <v>2514</v>
      </c>
      <c r="C49" s="1" t="s">
        <v>29</v>
      </c>
      <c r="D49" s="7"/>
      <c r="E49" s="7"/>
      <c r="F49" s="7">
        <f>3132074.01/1000</f>
        <v>3132.0740099999998</v>
      </c>
      <c r="G49" s="20">
        <v>2713856.7545740004</v>
      </c>
      <c r="H49" s="7" t="s">
        <v>167</v>
      </c>
      <c r="I49" s="1"/>
      <c r="J49" s="1"/>
    </row>
    <row r="50" spans="1:10" x14ac:dyDescent="0.25">
      <c r="A50" s="6">
        <f t="shared" si="2"/>
        <v>44</v>
      </c>
      <c r="B50" s="6">
        <v>4175</v>
      </c>
      <c r="C50" s="1" t="s">
        <v>216</v>
      </c>
      <c r="D50" s="7"/>
      <c r="E50" s="7"/>
      <c r="F50" s="7">
        <f>2964634.532286/1000</f>
        <v>2964.6345322860002</v>
      </c>
      <c r="G50" s="20"/>
      <c r="H50" s="7" t="s">
        <v>169</v>
      </c>
      <c r="I50" s="1"/>
      <c r="J50" s="1"/>
    </row>
    <row r="51" spans="1:10" x14ac:dyDescent="0.25">
      <c r="A51" s="6">
        <f t="shared" si="2"/>
        <v>45</v>
      </c>
      <c r="B51" s="18">
        <v>2000</v>
      </c>
      <c r="C51" s="1" t="s">
        <v>65</v>
      </c>
      <c r="D51" s="7"/>
      <c r="E51" s="7"/>
      <c r="F51" s="7">
        <f>2763223.47/1000</f>
        <v>2763.2234700000004</v>
      </c>
      <c r="G51" s="20">
        <v>349389.26105999993</v>
      </c>
      <c r="H51" s="7" t="s">
        <v>167</v>
      </c>
      <c r="I51" s="1"/>
      <c r="J51" s="1"/>
    </row>
    <row r="52" spans="1:10" x14ac:dyDescent="0.25">
      <c r="A52" s="6">
        <f t="shared" si="2"/>
        <v>46</v>
      </c>
      <c r="B52" s="6">
        <v>2556</v>
      </c>
      <c r="C52" s="1" t="s">
        <v>25</v>
      </c>
      <c r="D52" s="7"/>
      <c r="E52" s="7"/>
      <c r="F52" s="7">
        <f>2691685.396302/1000</f>
        <v>2691.6853963020003</v>
      </c>
      <c r="G52" s="20">
        <v>3051580.98</v>
      </c>
      <c r="H52" s="7" t="s">
        <v>167</v>
      </c>
      <c r="I52" s="1"/>
      <c r="J52" s="1"/>
    </row>
    <row r="53" spans="1:10" x14ac:dyDescent="0.25">
      <c r="A53" s="6">
        <f t="shared" si="2"/>
        <v>47</v>
      </c>
      <c r="B53" s="6">
        <v>2550</v>
      </c>
      <c r="C53" s="1" t="s">
        <v>20</v>
      </c>
      <c r="D53" s="7"/>
      <c r="E53" s="7"/>
      <c r="F53" s="7">
        <f>2609819.976183/1000</f>
        <v>2609.8199761830001</v>
      </c>
      <c r="G53" s="20">
        <v>3825643.7519999999</v>
      </c>
      <c r="H53" s="7" t="s">
        <v>167</v>
      </c>
      <c r="I53" s="1"/>
      <c r="J53" s="1"/>
    </row>
    <row r="54" spans="1:10" x14ac:dyDescent="0.25">
      <c r="A54" s="6">
        <f t="shared" si="2"/>
        <v>48</v>
      </c>
      <c r="B54" s="6">
        <v>2058</v>
      </c>
      <c r="C54" s="1" t="s">
        <v>43</v>
      </c>
      <c r="D54" s="7"/>
      <c r="E54" s="7"/>
      <c r="F54" s="7">
        <f>2437930.57/1000</f>
        <v>2437.93057</v>
      </c>
      <c r="G54" s="20">
        <v>1317214.960958</v>
      </c>
      <c r="H54" s="7" t="s">
        <v>167</v>
      </c>
      <c r="I54" s="1"/>
      <c r="J54" s="1"/>
    </row>
    <row r="55" spans="1:10" x14ac:dyDescent="0.25">
      <c r="A55" s="6">
        <f t="shared" si="2"/>
        <v>49</v>
      </c>
      <c r="B55" s="6">
        <v>2535</v>
      </c>
      <c r="C55" s="1" t="s">
        <v>39</v>
      </c>
      <c r="D55" s="7"/>
      <c r="E55" s="7"/>
      <c r="F55" s="7">
        <f>1703190/1000</f>
        <v>1703.19</v>
      </c>
      <c r="G55" s="20">
        <v>1700394.61</v>
      </c>
      <c r="H55" s="7" t="s">
        <v>167</v>
      </c>
      <c r="I55" s="1"/>
      <c r="J55" s="1"/>
    </row>
    <row r="56" spans="1:10" x14ac:dyDescent="0.25">
      <c r="A56" s="6">
        <f t="shared" si="2"/>
        <v>50</v>
      </c>
      <c r="B56" s="18">
        <v>2584</v>
      </c>
      <c r="C56" s="1" t="s">
        <v>46</v>
      </c>
      <c r="D56" s="7"/>
      <c r="E56" s="7"/>
      <c r="F56" s="7">
        <f>1697509.23003662/1000</f>
        <v>1697.50923003662</v>
      </c>
      <c r="G56" s="20">
        <v>1078418.7900000003</v>
      </c>
      <c r="H56" s="7" t="s">
        <v>167</v>
      </c>
      <c r="I56" s="1"/>
      <c r="J56" s="1"/>
    </row>
    <row r="57" spans="1:10" x14ac:dyDescent="0.25">
      <c r="A57" s="6">
        <f t="shared" si="2"/>
        <v>51</v>
      </c>
      <c r="B57" s="18">
        <v>2532</v>
      </c>
      <c r="C57" s="1" t="s">
        <v>52</v>
      </c>
      <c r="D57" s="7"/>
      <c r="E57" s="7"/>
      <c r="F57" s="7">
        <f>1645954.092762/1000</f>
        <v>1645.9540927619998</v>
      </c>
      <c r="G57" s="20">
        <v>857193.44203499996</v>
      </c>
      <c r="H57" s="7" t="s">
        <v>167</v>
      </c>
      <c r="I57" s="1"/>
      <c r="J57" s="1"/>
    </row>
    <row r="58" spans="1:10" x14ac:dyDescent="0.25">
      <c r="A58" s="6">
        <f t="shared" si="2"/>
        <v>52</v>
      </c>
      <c r="B58" s="6">
        <v>2577</v>
      </c>
      <c r="C58" s="1" t="s">
        <v>35</v>
      </c>
      <c r="D58" s="7"/>
      <c r="E58" s="7"/>
      <c r="F58" s="7">
        <f>1643250/1000</f>
        <v>1643.25</v>
      </c>
      <c r="G58" s="20">
        <v>2050776.1840439998</v>
      </c>
      <c r="H58" s="7" t="s">
        <v>167</v>
      </c>
      <c r="I58" s="1"/>
      <c r="J58" s="1"/>
    </row>
    <row r="59" spans="1:10" x14ac:dyDescent="0.25">
      <c r="A59" s="6">
        <f t="shared" si="2"/>
        <v>53</v>
      </c>
      <c r="B59" s="6">
        <v>7108</v>
      </c>
      <c r="C59" s="1" t="s">
        <v>220</v>
      </c>
      <c r="D59" s="7"/>
      <c r="E59" s="7"/>
      <c r="F59" s="7">
        <f>1593847.26/1000</f>
        <v>1593.84726</v>
      </c>
      <c r="G59" s="20"/>
      <c r="H59" s="7" t="s">
        <v>167</v>
      </c>
      <c r="I59" s="1"/>
      <c r="J59" s="1"/>
    </row>
    <row r="60" spans="1:10" x14ac:dyDescent="0.25">
      <c r="A60" s="6">
        <f t="shared" si="2"/>
        <v>54</v>
      </c>
      <c r="B60" s="6">
        <v>2274</v>
      </c>
      <c r="C60" s="1" t="s">
        <v>206</v>
      </c>
      <c r="D60" s="7"/>
      <c r="E60" s="7"/>
      <c r="F60" s="7">
        <f>1593049.540698/1000</f>
        <v>1593.0495406980001</v>
      </c>
      <c r="G60" s="20"/>
      <c r="H60" s="7" t="s">
        <v>167</v>
      </c>
      <c r="I60" s="1"/>
      <c r="J60" s="1"/>
    </row>
    <row r="61" spans="1:10" x14ac:dyDescent="0.25">
      <c r="A61" s="6">
        <f t="shared" si="2"/>
        <v>55</v>
      </c>
      <c r="B61" s="18">
        <v>2059</v>
      </c>
      <c r="C61" s="1" t="s">
        <v>44</v>
      </c>
      <c r="D61" s="7"/>
      <c r="E61" s="7"/>
      <c r="F61" s="7">
        <f>1497753.94546298/1000</f>
        <v>1497.75394546298</v>
      </c>
      <c r="G61" s="20">
        <v>1226793.2100000002</v>
      </c>
      <c r="H61" s="7" t="s">
        <v>167</v>
      </c>
      <c r="I61" s="1"/>
      <c r="J61" s="1"/>
    </row>
    <row r="62" spans="1:10" x14ac:dyDescent="0.25">
      <c r="A62" s="6">
        <f t="shared" si="2"/>
        <v>56</v>
      </c>
      <c r="B62" s="18">
        <v>1108</v>
      </c>
      <c r="C62" s="1" t="s">
        <v>58</v>
      </c>
      <c r="D62" s="7"/>
      <c r="E62" s="7"/>
      <c r="F62" s="7">
        <f>1373360.88/1000</f>
        <v>1373.36088</v>
      </c>
      <c r="G62" s="20">
        <v>553278.03541500005</v>
      </c>
      <c r="H62" s="7" t="s">
        <v>167</v>
      </c>
      <c r="I62" s="1"/>
      <c r="J62" s="1"/>
    </row>
    <row r="63" spans="1:10" x14ac:dyDescent="0.25">
      <c r="A63" s="6">
        <f t="shared" si="2"/>
        <v>57</v>
      </c>
      <c r="B63" s="18">
        <v>2579</v>
      </c>
      <c r="C63" s="1" t="s">
        <v>53</v>
      </c>
      <c r="D63" s="7"/>
      <c r="E63" s="7"/>
      <c r="F63" s="7">
        <f>1323633.681426/1000</f>
        <v>1323.6336814260001</v>
      </c>
      <c r="G63" s="20">
        <v>792676.67980200006</v>
      </c>
      <c r="H63" s="7" t="s">
        <v>167</v>
      </c>
      <c r="I63" s="1"/>
      <c r="J63" s="1"/>
    </row>
    <row r="64" spans="1:10" x14ac:dyDescent="0.25">
      <c r="A64" s="6">
        <f t="shared" si="2"/>
        <v>58</v>
      </c>
      <c r="B64" s="18">
        <v>6107</v>
      </c>
      <c r="C64" s="1" t="s">
        <v>49</v>
      </c>
      <c r="D64" s="7"/>
      <c r="E64" s="7"/>
      <c r="F64" s="7">
        <f>1319486.874321/1000</f>
        <v>1319.486874321</v>
      </c>
      <c r="G64" s="20">
        <v>957532.73335899995</v>
      </c>
      <c r="H64" s="7" t="s">
        <v>169</v>
      </c>
      <c r="I64" s="1"/>
      <c r="J64" s="1"/>
    </row>
    <row r="65" spans="1:10" x14ac:dyDescent="0.25">
      <c r="A65" s="6">
        <f t="shared" si="2"/>
        <v>59</v>
      </c>
      <c r="B65" s="18">
        <v>2581</v>
      </c>
      <c r="C65" s="1" t="s">
        <v>56</v>
      </c>
      <c r="D65" s="7"/>
      <c r="E65" s="7"/>
      <c r="F65" s="7">
        <f>1314600/1000</f>
        <v>1314.6</v>
      </c>
      <c r="G65" s="20">
        <v>674079.65299499989</v>
      </c>
      <c r="H65" s="7" t="s">
        <v>167</v>
      </c>
      <c r="I65" s="1"/>
      <c r="J65" s="1"/>
    </row>
    <row r="66" spans="1:10" x14ac:dyDescent="0.25">
      <c r="A66" s="6">
        <f t="shared" si="2"/>
        <v>60</v>
      </c>
      <c r="B66" s="6">
        <v>2056</v>
      </c>
      <c r="C66" s="1" t="s">
        <v>34</v>
      </c>
      <c r="D66" s="7"/>
      <c r="E66" s="7"/>
      <c r="F66" s="7">
        <f>1246445.71855639/1000</f>
        <v>1246.4457185563899</v>
      </c>
      <c r="G66" s="20">
        <v>2073938.7721553999</v>
      </c>
      <c r="H66" s="7" t="s">
        <v>167</v>
      </c>
      <c r="I66" s="1"/>
      <c r="J66" s="1"/>
    </row>
    <row r="67" spans="1:10" x14ac:dyDescent="0.25">
      <c r="A67" s="6">
        <f t="shared" si="2"/>
        <v>61</v>
      </c>
      <c r="B67" s="18">
        <v>2474</v>
      </c>
      <c r="C67" s="1" t="s">
        <v>47</v>
      </c>
      <c r="D67" s="7"/>
      <c r="E67" s="7"/>
      <c r="F67" s="7">
        <f>1081555.231512/1000</f>
        <v>1081.5552315120001</v>
      </c>
      <c r="G67" s="20">
        <v>1040234.7235719999</v>
      </c>
      <c r="H67" s="7" t="s">
        <v>167</v>
      </c>
      <c r="I67" s="1"/>
      <c r="J67" s="1"/>
    </row>
    <row r="68" spans="1:10" x14ac:dyDescent="0.25">
      <c r="A68" s="6">
        <f t="shared" si="2"/>
        <v>62</v>
      </c>
      <c r="B68" s="18">
        <v>2516</v>
      </c>
      <c r="C68" s="1" t="s">
        <v>68</v>
      </c>
      <c r="D68" s="7"/>
      <c r="E68" s="7"/>
      <c r="F68" s="7">
        <f>1025701.07/1000</f>
        <v>1025.7010699999998</v>
      </c>
      <c r="G68" s="20">
        <v>302877.25</v>
      </c>
      <c r="H68" s="7" t="s">
        <v>167</v>
      </c>
      <c r="I68" s="1"/>
      <c r="J68" s="1"/>
    </row>
    <row r="69" spans="1:10" x14ac:dyDescent="0.25">
      <c r="A69" s="6">
        <f t="shared" si="2"/>
        <v>63</v>
      </c>
      <c r="B69" s="18">
        <v>2599</v>
      </c>
      <c r="C69" s="1" t="s">
        <v>55</v>
      </c>
      <c r="D69" s="7"/>
      <c r="E69" s="7"/>
      <c r="F69" s="7">
        <f>996605.723992838/1000</f>
        <v>996.60572399283797</v>
      </c>
      <c r="G69" s="20">
        <v>698570.54914499982</v>
      </c>
      <c r="H69" s="7" t="s">
        <v>167</v>
      </c>
      <c r="I69" s="1"/>
      <c r="J69" s="1"/>
    </row>
    <row r="70" spans="1:10" x14ac:dyDescent="0.25">
      <c r="A70" s="6">
        <f t="shared" si="2"/>
        <v>64</v>
      </c>
      <c r="B70" s="18">
        <v>7143</v>
      </c>
      <c r="C70" s="1" t="s">
        <v>57</v>
      </c>
      <c r="D70" s="7"/>
      <c r="E70" s="7"/>
      <c r="F70" s="7">
        <f>963576.140439/1000</f>
        <v>963.57614043900003</v>
      </c>
      <c r="G70" s="20">
        <v>563295.77</v>
      </c>
      <c r="H70" s="7" t="s">
        <v>167</v>
      </c>
      <c r="I70" s="1"/>
      <c r="J70" s="1"/>
    </row>
    <row r="71" spans="1:10" x14ac:dyDescent="0.25">
      <c r="A71" s="6">
        <f t="shared" si="2"/>
        <v>65</v>
      </c>
      <c r="B71" s="18">
        <v>1009</v>
      </c>
      <c r="C71" s="1" t="s">
        <v>51</v>
      </c>
      <c r="D71" s="7"/>
      <c r="E71" s="7"/>
      <c r="F71" s="7">
        <f>960000/1000</f>
        <v>960</v>
      </c>
      <c r="G71" s="20">
        <v>947167.51000000013</v>
      </c>
      <c r="H71" s="7" t="s">
        <v>167</v>
      </c>
      <c r="I71" s="1"/>
      <c r="J71" s="1"/>
    </row>
    <row r="72" spans="1:10" x14ac:dyDescent="0.25">
      <c r="A72" s="6">
        <f t="shared" si="2"/>
        <v>66</v>
      </c>
      <c r="B72" s="18">
        <v>2557</v>
      </c>
      <c r="C72" s="1" t="s">
        <v>70</v>
      </c>
      <c r="D72" s="7"/>
      <c r="E72" s="7"/>
      <c r="F72" s="7">
        <f>943015.768716/1000</f>
        <v>943.01576871600003</v>
      </c>
      <c r="G72" s="20">
        <v>268210.10589200002</v>
      </c>
      <c r="H72" s="7" t="s">
        <v>167</v>
      </c>
      <c r="I72" s="1"/>
      <c r="J72" s="1"/>
    </row>
    <row r="73" spans="1:10" x14ac:dyDescent="0.25">
      <c r="A73" s="6">
        <f t="shared" si="2"/>
        <v>67</v>
      </c>
      <c r="B73" s="18">
        <v>4147</v>
      </c>
      <c r="C73" s="1" t="s">
        <v>59</v>
      </c>
      <c r="D73" s="7"/>
      <c r="E73" s="7"/>
      <c r="F73" s="7">
        <f>920824.354485/1000</f>
        <v>920.82435448500007</v>
      </c>
      <c r="G73" s="20">
        <v>525179.255748</v>
      </c>
      <c r="H73" s="7" t="s">
        <v>169</v>
      </c>
      <c r="I73" s="1"/>
      <c r="J73" s="1"/>
    </row>
    <row r="74" spans="1:10" ht="16.5" x14ac:dyDescent="0.25">
      <c r="A74" s="6">
        <f t="shared" si="2"/>
        <v>68</v>
      </c>
      <c r="B74" s="18" t="s">
        <v>202</v>
      </c>
      <c r="C74" s="1" t="s">
        <v>62</v>
      </c>
      <c r="D74" s="7"/>
      <c r="E74" s="7"/>
      <c r="F74" s="7">
        <f>867309.152636473/1000</f>
        <v>867.30915263647296</v>
      </c>
      <c r="G74" s="20">
        <v>410371.24700111529</v>
      </c>
      <c r="H74" s="7" t="s">
        <v>167</v>
      </c>
      <c r="I74" s="1"/>
      <c r="J74" s="1"/>
    </row>
    <row r="75" spans="1:10" x14ac:dyDescent="0.25">
      <c r="A75" s="6">
        <f t="shared" si="2"/>
        <v>69</v>
      </c>
      <c r="B75" s="18">
        <v>4174</v>
      </c>
      <c r="C75" s="1" t="s">
        <v>76</v>
      </c>
      <c r="D75" s="7"/>
      <c r="E75" s="7"/>
      <c r="F75" s="7">
        <f>801584.442267/1000</f>
        <v>801.58444226699999</v>
      </c>
      <c r="G75" s="20">
        <v>159889.07291700001</v>
      </c>
      <c r="H75" s="7" t="s">
        <v>169</v>
      </c>
      <c r="I75" s="1"/>
      <c r="J75" s="1"/>
    </row>
    <row r="76" spans="1:10" ht="16.5" x14ac:dyDescent="0.25">
      <c r="A76" s="6">
        <f t="shared" ref="A76:A107" si="3">A75+1</f>
        <v>70</v>
      </c>
      <c r="B76" s="6" t="s">
        <v>234</v>
      </c>
      <c r="C76" s="1" t="s">
        <v>222</v>
      </c>
      <c r="D76" s="7"/>
      <c r="E76" s="7"/>
      <c r="F76" s="7">
        <f>730413.903/1000</f>
        <v>730.413903</v>
      </c>
      <c r="G76" s="20"/>
      <c r="H76" s="7" t="s">
        <v>167</v>
      </c>
      <c r="I76" s="1"/>
      <c r="J76" s="1"/>
    </row>
    <row r="77" spans="1:10" x14ac:dyDescent="0.25">
      <c r="A77" s="6">
        <f t="shared" si="3"/>
        <v>71</v>
      </c>
      <c r="B77" s="18">
        <v>2310</v>
      </c>
      <c r="C77" s="1" t="s">
        <v>48</v>
      </c>
      <c r="D77" s="7"/>
      <c r="E77" s="7"/>
      <c r="F77" s="7">
        <f>653597.468538/1000</f>
        <v>653.59746853800004</v>
      </c>
      <c r="G77" s="20">
        <v>1039441.4420879999</v>
      </c>
      <c r="H77" s="7" t="s">
        <v>167</v>
      </c>
      <c r="I77" s="1"/>
      <c r="J77" s="1"/>
    </row>
    <row r="78" spans="1:10" x14ac:dyDescent="0.25">
      <c r="A78" s="6">
        <f t="shared" si="3"/>
        <v>72</v>
      </c>
      <c r="B78" s="18">
        <v>5142</v>
      </c>
      <c r="C78" s="1" t="s">
        <v>64</v>
      </c>
      <c r="D78" s="7"/>
      <c r="E78" s="7"/>
      <c r="F78" s="7">
        <f>640017.766675/1000</f>
        <v>640.01776667499996</v>
      </c>
      <c r="G78" s="20">
        <v>386767.92870600009</v>
      </c>
      <c r="H78" s="7" t="s">
        <v>168</v>
      </c>
      <c r="I78" s="1"/>
      <c r="J78" s="1"/>
    </row>
    <row r="79" spans="1:10" x14ac:dyDescent="0.25">
      <c r="A79" s="6">
        <f t="shared" si="3"/>
        <v>73</v>
      </c>
      <c r="B79" s="18">
        <v>1004</v>
      </c>
      <c r="C79" s="1" t="s">
        <v>54</v>
      </c>
      <c r="D79" s="7"/>
      <c r="E79" s="7"/>
      <c r="F79" s="7">
        <f>565261.5125725/1000</f>
        <v>565.26151257250001</v>
      </c>
      <c r="G79" s="20">
        <v>750725.61499999999</v>
      </c>
      <c r="H79" s="7" t="s">
        <v>167</v>
      </c>
      <c r="I79" s="1"/>
      <c r="J79" s="1"/>
    </row>
    <row r="80" spans="1:10" x14ac:dyDescent="0.25">
      <c r="A80" s="6">
        <f t="shared" si="3"/>
        <v>74</v>
      </c>
      <c r="B80" s="18">
        <v>1005</v>
      </c>
      <c r="C80" s="1" t="s">
        <v>63</v>
      </c>
      <c r="D80" s="7"/>
      <c r="E80" s="7"/>
      <c r="F80" s="7">
        <f>408553.900502849/1000</f>
        <v>408.55390050284905</v>
      </c>
      <c r="G80" s="20">
        <v>390331.79600000003</v>
      </c>
      <c r="H80" s="7" t="s">
        <v>167</v>
      </c>
      <c r="I80" s="1"/>
      <c r="J80" s="1"/>
    </row>
    <row r="81" spans="1:10" x14ac:dyDescent="0.25">
      <c r="A81" s="6">
        <f t="shared" si="3"/>
        <v>75</v>
      </c>
      <c r="B81" s="18">
        <v>2301</v>
      </c>
      <c r="C81" s="1" t="s">
        <v>85</v>
      </c>
      <c r="D81" s="7"/>
      <c r="E81" s="7"/>
      <c r="F81" s="7">
        <f>408455.178999/1000</f>
        <v>408.455178999</v>
      </c>
      <c r="G81" s="20">
        <v>59767.374103799986</v>
      </c>
      <c r="H81" s="7" t="s">
        <v>167</v>
      </c>
      <c r="I81" s="1"/>
      <c r="J81" s="1"/>
    </row>
    <row r="82" spans="1:10" x14ac:dyDescent="0.25">
      <c r="A82" s="6">
        <f t="shared" si="3"/>
        <v>76</v>
      </c>
      <c r="B82" s="18">
        <v>1002</v>
      </c>
      <c r="C82" s="1" t="s">
        <v>45</v>
      </c>
      <c r="D82" s="7"/>
      <c r="E82" s="7"/>
      <c r="F82" s="7">
        <f>377597.41325/1000</f>
        <v>377.59741324999999</v>
      </c>
      <c r="G82" s="20">
        <v>1173439.571</v>
      </c>
      <c r="H82" s="7" t="s">
        <v>167</v>
      </c>
      <c r="I82" s="1"/>
      <c r="J82" s="1"/>
    </row>
    <row r="83" spans="1:10" ht="16.5" x14ac:dyDescent="0.25">
      <c r="A83" s="6">
        <f t="shared" si="3"/>
        <v>77</v>
      </c>
      <c r="B83" s="18" t="s">
        <v>193</v>
      </c>
      <c r="C83" s="1" t="s">
        <v>67</v>
      </c>
      <c r="D83" s="7"/>
      <c r="E83" s="7"/>
      <c r="F83" s="7">
        <f>360871.643081282/1000</f>
        <v>360.871643081282</v>
      </c>
      <c r="G83" s="20">
        <v>311438.23700790381</v>
      </c>
      <c r="H83" s="7" t="s">
        <v>167</v>
      </c>
      <c r="I83" s="1"/>
      <c r="J83" s="1"/>
    </row>
    <row r="84" spans="1:10" x14ac:dyDescent="0.25">
      <c r="A84" s="6">
        <f t="shared" si="3"/>
        <v>78</v>
      </c>
      <c r="B84" s="18">
        <v>2073</v>
      </c>
      <c r="C84" s="1" t="s">
        <v>81</v>
      </c>
      <c r="D84" s="7"/>
      <c r="E84" s="7"/>
      <c r="F84" s="7">
        <f>333062.65/1000</f>
        <v>333.06265000000002</v>
      </c>
      <c r="G84" s="20">
        <v>117376.84600000001</v>
      </c>
      <c r="H84" s="7" t="s">
        <v>167</v>
      </c>
      <c r="I84" s="1"/>
      <c r="J84" s="1"/>
    </row>
    <row r="85" spans="1:10" x14ac:dyDescent="0.25">
      <c r="A85" s="6">
        <f t="shared" si="3"/>
        <v>79</v>
      </c>
      <c r="B85" s="18">
        <v>4150</v>
      </c>
      <c r="C85" s="1" t="s">
        <v>66</v>
      </c>
      <c r="D85" s="7"/>
      <c r="E85" s="7"/>
      <c r="F85" s="7">
        <f>328650/1000</f>
        <v>328.65</v>
      </c>
      <c r="G85" s="20">
        <v>328650.21033599996</v>
      </c>
      <c r="H85" s="7" t="s">
        <v>169</v>
      </c>
      <c r="I85" s="1"/>
      <c r="J85" s="1"/>
    </row>
    <row r="86" spans="1:10" x14ac:dyDescent="0.25">
      <c r="A86" s="6">
        <f t="shared" si="3"/>
        <v>80</v>
      </c>
      <c r="B86" s="18">
        <v>4180</v>
      </c>
      <c r="C86" s="1" t="s">
        <v>78</v>
      </c>
      <c r="D86" s="7"/>
      <c r="E86" s="7"/>
      <c r="F86" s="7">
        <f>328650/1000</f>
        <v>328.65</v>
      </c>
      <c r="G86" s="20">
        <v>131460</v>
      </c>
      <c r="H86" s="7" t="s">
        <v>169</v>
      </c>
      <c r="I86" s="1"/>
      <c r="J86" s="1"/>
    </row>
    <row r="87" spans="1:10" ht="16.5" x14ac:dyDescent="0.25">
      <c r="A87" s="6">
        <f t="shared" si="3"/>
        <v>81</v>
      </c>
      <c r="B87" s="6" t="s">
        <v>204</v>
      </c>
      <c r="C87" s="1" t="s">
        <v>104</v>
      </c>
      <c r="D87" s="7"/>
      <c r="E87" s="7"/>
      <c r="F87" s="7">
        <f>323803.259239682/1000</f>
        <v>323.80325923968201</v>
      </c>
      <c r="G87" s="20"/>
      <c r="H87" s="7" t="s">
        <v>168</v>
      </c>
      <c r="I87" s="1"/>
      <c r="J87" s="1"/>
    </row>
    <row r="88" spans="1:10" x14ac:dyDescent="0.25">
      <c r="A88" s="6">
        <f t="shared" si="3"/>
        <v>82</v>
      </c>
      <c r="B88" s="18">
        <v>2414</v>
      </c>
      <c r="C88" s="1" t="s">
        <v>60</v>
      </c>
      <c r="D88" s="7"/>
      <c r="E88" s="7"/>
      <c r="F88" s="7">
        <f>307677.634068/1000</f>
        <v>307.67763406800003</v>
      </c>
      <c r="G88" s="20">
        <v>485746.57</v>
      </c>
      <c r="H88" s="7" t="s">
        <v>167</v>
      </c>
      <c r="I88" s="1"/>
      <c r="J88" s="1"/>
    </row>
    <row r="89" spans="1:10" ht="16.5" x14ac:dyDescent="0.25">
      <c r="A89" s="6">
        <f t="shared" si="3"/>
        <v>83</v>
      </c>
      <c r="B89" s="18" t="s">
        <v>203</v>
      </c>
      <c r="C89" s="1" t="s">
        <v>69</v>
      </c>
      <c r="D89" s="7"/>
      <c r="E89" s="7"/>
      <c r="F89" s="7">
        <f>299860.057766893/1000</f>
        <v>299.86005776689302</v>
      </c>
      <c r="G89" s="20">
        <v>300789.9839240376</v>
      </c>
      <c r="H89" s="7" t="s">
        <v>167</v>
      </c>
      <c r="I89" s="1"/>
      <c r="J89" s="1"/>
    </row>
    <row r="90" spans="1:10" ht="16.5" x14ac:dyDescent="0.25">
      <c r="A90" s="6">
        <f t="shared" si="3"/>
        <v>84</v>
      </c>
      <c r="B90" s="18" t="s">
        <v>196</v>
      </c>
      <c r="C90" s="1" t="s">
        <v>79</v>
      </c>
      <c r="D90" s="7"/>
      <c r="E90" s="7"/>
      <c r="F90" s="7">
        <f>259753.22999963/1000</f>
        <v>259.75322999963004</v>
      </c>
      <c r="G90" s="20">
        <v>127795.10622781132</v>
      </c>
      <c r="H90" s="7" t="s">
        <v>168</v>
      </c>
      <c r="I90" s="1"/>
      <c r="J90" s="1"/>
    </row>
    <row r="91" spans="1:10" x14ac:dyDescent="0.25">
      <c r="A91" s="6">
        <f t="shared" si="3"/>
        <v>85</v>
      </c>
      <c r="B91" s="18">
        <v>6000</v>
      </c>
      <c r="C91" s="1" t="s">
        <v>71</v>
      </c>
      <c r="D91" s="7"/>
      <c r="E91" s="7"/>
      <c r="F91" s="7">
        <f>257769.06029/1000</f>
        <v>257.76906028999997</v>
      </c>
      <c r="G91" s="20">
        <v>238945</v>
      </c>
      <c r="H91" s="7" t="s">
        <v>167</v>
      </c>
      <c r="I91" s="1"/>
      <c r="J91" s="1"/>
    </row>
    <row r="92" spans="1:10" x14ac:dyDescent="0.25">
      <c r="A92" s="6">
        <f t="shared" si="3"/>
        <v>86</v>
      </c>
      <c r="B92" s="6">
        <v>6001</v>
      </c>
      <c r="C92" s="1" t="s">
        <v>219</v>
      </c>
      <c r="D92" s="7"/>
      <c r="E92" s="7"/>
      <c r="F92" s="7">
        <f>230055/1000</f>
        <v>230.05500000000001</v>
      </c>
      <c r="G92" s="20"/>
      <c r="H92" s="7" t="s">
        <v>169</v>
      </c>
      <c r="I92" s="1"/>
      <c r="J92" s="1"/>
    </row>
    <row r="93" spans="1:10" x14ac:dyDescent="0.25">
      <c r="A93" s="6">
        <f t="shared" si="3"/>
        <v>87</v>
      </c>
      <c r="B93" s="6">
        <v>4163</v>
      </c>
      <c r="C93" s="1" t="s">
        <v>214</v>
      </c>
      <c r="D93" s="7"/>
      <c r="E93" s="7"/>
      <c r="F93" s="7">
        <f>216987.461901/1000</f>
        <v>216.98746190099999</v>
      </c>
      <c r="G93" s="20"/>
      <c r="H93" s="7" t="s">
        <v>169</v>
      </c>
      <c r="I93" s="1"/>
      <c r="J93" s="1"/>
    </row>
    <row r="94" spans="1:10" x14ac:dyDescent="0.25">
      <c r="A94" s="6">
        <f t="shared" si="3"/>
        <v>88</v>
      </c>
      <c r="B94" s="18">
        <v>2214</v>
      </c>
      <c r="C94" s="1" t="s">
        <v>74</v>
      </c>
      <c r="D94" s="7"/>
      <c r="E94" s="7"/>
      <c r="F94" s="7">
        <f>213700.0614/1000</f>
        <v>213.70006140000001</v>
      </c>
      <c r="G94" s="20">
        <v>170294.15503199998</v>
      </c>
      <c r="H94" s="7" t="s">
        <v>167</v>
      </c>
      <c r="I94" s="1"/>
      <c r="J94" s="1"/>
    </row>
    <row r="95" spans="1:10" x14ac:dyDescent="0.25">
      <c r="A95" s="6">
        <f t="shared" si="3"/>
        <v>89</v>
      </c>
      <c r="B95" s="6">
        <v>2522</v>
      </c>
      <c r="C95" s="1" t="s">
        <v>208</v>
      </c>
      <c r="D95" s="7"/>
      <c r="E95" s="7"/>
      <c r="F95" s="7">
        <f>182568.57/1000</f>
        <v>182.56856999999999</v>
      </c>
      <c r="G95" s="20"/>
      <c r="H95" s="7" t="s">
        <v>167</v>
      </c>
      <c r="I95" s="1"/>
      <c r="J95" s="1"/>
    </row>
    <row r="96" spans="1:10" x14ac:dyDescent="0.25">
      <c r="A96" s="6">
        <f t="shared" si="3"/>
        <v>90</v>
      </c>
      <c r="B96" s="18">
        <v>2054</v>
      </c>
      <c r="C96" s="1" t="s">
        <v>72</v>
      </c>
      <c r="D96" s="7"/>
      <c r="E96" s="7"/>
      <c r="F96" s="7">
        <f>167871.54/1000</f>
        <v>167.87154000000001</v>
      </c>
      <c r="G96" s="20">
        <v>220937.53</v>
      </c>
      <c r="H96" s="7" t="s">
        <v>167</v>
      </c>
      <c r="I96" s="1"/>
      <c r="J96" s="1"/>
    </row>
    <row r="97" spans="1:10" x14ac:dyDescent="0.25">
      <c r="A97" s="6">
        <f t="shared" si="3"/>
        <v>91</v>
      </c>
      <c r="B97" s="6">
        <v>7132</v>
      </c>
      <c r="C97" s="1" t="s">
        <v>93</v>
      </c>
      <c r="D97" s="7"/>
      <c r="E97" s="7"/>
      <c r="F97" s="7">
        <f>156084.995546292/1000</f>
        <v>156.08499554629199</v>
      </c>
      <c r="G97" s="20"/>
      <c r="H97" s="7" t="s">
        <v>167</v>
      </c>
      <c r="I97" s="1"/>
      <c r="J97" s="1"/>
    </row>
    <row r="98" spans="1:10" ht="16.5" x14ac:dyDescent="0.25">
      <c r="A98" s="6">
        <f t="shared" si="3"/>
        <v>92</v>
      </c>
      <c r="B98" s="18" t="s">
        <v>197</v>
      </c>
      <c r="C98" s="1" t="s">
        <v>80</v>
      </c>
      <c r="D98" s="7"/>
      <c r="E98" s="7"/>
      <c r="F98" s="7">
        <f>150776.800155908/1000</f>
        <v>150.77680015590798</v>
      </c>
      <c r="G98" s="20">
        <v>124809.44645583809</v>
      </c>
      <c r="H98" s="7" t="s">
        <v>167</v>
      </c>
      <c r="I98" s="1"/>
      <c r="J98" s="1"/>
    </row>
    <row r="99" spans="1:10" x14ac:dyDescent="0.25">
      <c r="A99" s="6">
        <f t="shared" si="3"/>
        <v>93</v>
      </c>
      <c r="B99" s="18">
        <v>2254</v>
      </c>
      <c r="C99" s="1" t="s">
        <v>82</v>
      </c>
      <c r="D99" s="7"/>
      <c r="E99" s="7"/>
      <c r="F99" s="7">
        <f>147892.5/1000</f>
        <v>147.89250000000001</v>
      </c>
      <c r="G99" s="20">
        <v>114057.095145</v>
      </c>
      <c r="H99" s="7" t="s">
        <v>167</v>
      </c>
      <c r="I99" s="1"/>
      <c r="J99" s="1"/>
    </row>
    <row r="100" spans="1:10" ht="16.5" x14ac:dyDescent="0.25">
      <c r="A100" s="6">
        <f t="shared" si="3"/>
        <v>94</v>
      </c>
      <c r="B100" s="18" t="s">
        <v>194</v>
      </c>
      <c r="C100" s="1" t="s">
        <v>73</v>
      </c>
      <c r="D100" s="7"/>
      <c r="E100" s="7"/>
      <c r="F100" s="7">
        <f>144012.899595696/1000</f>
        <v>144.01289959569601</v>
      </c>
      <c r="G100" s="20">
        <v>177185.82514470656</v>
      </c>
      <c r="H100" s="7" t="s">
        <v>167</v>
      </c>
      <c r="I100" s="1"/>
      <c r="J100" s="1"/>
    </row>
    <row r="101" spans="1:10" x14ac:dyDescent="0.25">
      <c r="A101" s="6">
        <f t="shared" si="3"/>
        <v>95</v>
      </c>
      <c r="B101" s="18">
        <v>2237</v>
      </c>
      <c r="C101" s="1" t="s">
        <v>75</v>
      </c>
      <c r="D101" s="7"/>
      <c r="E101" s="7"/>
      <c r="F101" s="7">
        <f>109900.316799/1000</f>
        <v>109.900316799</v>
      </c>
      <c r="G101" s="20">
        <v>167199.63</v>
      </c>
      <c r="H101" s="7" t="s">
        <v>167</v>
      </c>
      <c r="I101" s="1"/>
      <c r="J101" s="1"/>
    </row>
    <row r="102" spans="1:10" x14ac:dyDescent="0.25">
      <c r="A102" s="6">
        <f t="shared" si="3"/>
        <v>96</v>
      </c>
      <c r="B102" s="18">
        <v>6100</v>
      </c>
      <c r="C102" s="1" t="s">
        <v>87</v>
      </c>
      <c r="D102" s="7"/>
      <c r="E102" s="7"/>
      <c r="F102" s="7">
        <f>65730/1000</f>
        <v>65.73</v>
      </c>
      <c r="G102" s="20">
        <v>21072.433283999992</v>
      </c>
      <c r="H102" s="7" t="s">
        <v>169</v>
      </c>
      <c r="I102" s="1"/>
      <c r="J102" s="1"/>
    </row>
    <row r="103" spans="1:10" x14ac:dyDescent="0.25">
      <c r="A103" s="6">
        <f t="shared" si="3"/>
        <v>97</v>
      </c>
      <c r="B103" s="6">
        <v>4164</v>
      </c>
      <c r="C103" s="1" t="s">
        <v>215</v>
      </c>
      <c r="D103" s="7"/>
      <c r="E103" s="7"/>
      <c r="F103" s="7">
        <f>51548.1740759999/1000</f>
        <v>51.548174075999903</v>
      </c>
      <c r="G103" s="20"/>
      <c r="H103" s="7" t="s">
        <v>169</v>
      </c>
      <c r="I103" s="1"/>
      <c r="J103" s="1"/>
    </row>
    <row r="104" spans="1:10" x14ac:dyDescent="0.25">
      <c r="A104" s="6">
        <f t="shared" si="3"/>
        <v>98</v>
      </c>
      <c r="B104" s="6">
        <v>4178</v>
      </c>
      <c r="C104" s="1" t="s">
        <v>218</v>
      </c>
      <c r="D104" s="7"/>
      <c r="E104" s="7"/>
      <c r="F104" s="7">
        <f>50366.574812/1000</f>
        <v>50.366574811999996</v>
      </c>
      <c r="G104" s="20"/>
      <c r="H104" s="7" t="s">
        <v>169</v>
      </c>
      <c r="I104" s="1"/>
      <c r="J104" s="1"/>
    </row>
    <row r="105" spans="1:10" ht="16.5" x14ac:dyDescent="0.25">
      <c r="A105" s="6">
        <f t="shared" si="3"/>
        <v>99</v>
      </c>
      <c r="B105" s="18" t="s">
        <v>195</v>
      </c>
      <c r="C105" s="1" t="s">
        <v>77</v>
      </c>
      <c r="D105" s="7"/>
      <c r="E105" s="7"/>
      <c r="F105" s="7">
        <f>49586.601995869/1000</f>
        <v>49.586601995869003</v>
      </c>
      <c r="G105" s="20">
        <v>155855.68749866623</v>
      </c>
      <c r="H105" s="7" t="s">
        <v>168</v>
      </c>
      <c r="I105" s="1"/>
      <c r="J105" s="1"/>
    </row>
    <row r="106" spans="1:10" x14ac:dyDescent="0.25">
      <c r="A106" s="6">
        <f t="shared" si="3"/>
        <v>100</v>
      </c>
      <c r="B106" s="18">
        <v>6101</v>
      </c>
      <c r="C106" s="1" t="s">
        <v>84</v>
      </c>
      <c r="D106" s="7"/>
      <c r="E106" s="7"/>
      <c r="F106" s="7">
        <f>47125.728216/1000</f>
        <v>47.125728216000006</v>
      </c>
      <c r="G106" s="20">
        <v>71696</v>
      </c>
      <c r="H106" s="7" t="s">
        <v>167</v>
      </c>
      <c r="I106" s="1"/>
      <c r="J106" s="1"/>
    </row>
    <row r="107" spans="1:10" x14ac:dyDescent="0.25">
      <c r="A107" s="6">
        <f t="shared" si="3"/>
        <v>101</v>
      </c>
      <c r="B107" s="6">
        <v>2539</v>
      </c>
      <c r="C107" s="1" t="s">
        <v>210</v>
      </c>
      <c r="D107" s="7"/>
      <c r="E107" s="7"/>
      <c r="F107" s="7">
        <f>36560.307735/1000</f>
        <v>36.560307735000002</v>
      </c>
      <c r="G107" s="20"/>
      <c r="H107" s="7" t="s">
        <v>167</v>
      </c>
      <c r="I107" s="1"/>
      <c r="J107" s="1"/>
    </row>
    <row r="108" spans="1:10" ht="16.5" x14ac:dyDescent="0.25">
      <c r="A108" s="6">
        <f t="shared" ref="A108:A114" si="4">A107+1</f>
        <v>102</v>
      </c>
      <c r="B108" s="18" t="s">
        <v>199</v>
      </c>
      <c r="C108" s="1" t="s">
        <v>88</v>
      </c>
      <c r="D108" s="7"/>
      <c r="E108" s="7"/>
      <c r="F108" s="7">
        <f>29216.55612/1000</f>
        <v>29.21655612</v>
      </c>
      <c r="G108" s="20">
        <v>9211.6686810573592</v>
      </c>
      <c r="H108" s="7" t="s">
        <v>167</v>
      </c>
      <c r="I108" s="1"/>
      <c r="J108" s="1"/>
    </row>
    <row r="109" spans="1:10" x14ac:dyDescent="0.25">
      <c r="A109" s="6">
        <f t="shared" si="4"/>
        <v>103</v>
      </c>
      <c r="B109" s="6">
        <v>2278</v>
      </c>
      <c r="C109" s="1" t="s">
        <v>207</v>
      </c>
      <c r="D109" s="7"/>
      <c r="E109" s="7"/>
      <c r="F109" s="7">
        <f>25813/1000</f>
        <v>25.812999999999999</v>
      </c>
      <c r="G109" s="20"/>
      <c r="H109" s="7" t="s">
        <v>167</v>
      </c>
      <c r="I109" s="1"/>
      <c r="J109" s="1"/>
    </row>
    <row r="110" spans="1:10" ht="16.5" x14ac:dyDescent="0.25">
      <c r="A110" s="6">
        <f t="shared" si="4"/>
        <v>104</v>
      </c>
      <c r="B110" s="18" t="s">
        <v>198</v>
      </c>
      <c r="C110" s="1" t="s">
        <v>83</v>
      </c>
      <c r="D110" s="7"/>
      <c r="E110" s="7"/>
      <c r="F110" s="7">
        <f>25330.8710222645/1000</f>
        <v>25.3308710222645</v>
      </c>
      <c r="G110" s="20">
        <v>102649.2852176</v>
      </c>
      <c r="H110" s="7" t="s">
        <v>167</v>
      </c>
      <c r="I110" s="1"/>
      <c r="J110" s="1"/>
    </row>
    <row r="111" spans="1:10" x14ac:dyDescent="0.25">
      <c r="A111" s="6">
        <f t="shared" si="4"/>
        <v>105</v>
      </c>
      <c r="B111" s="6">
        <v>2604</v>
      </c>
      <c r="C111" s="1" t="s">
        <v>212</v>
      </c>
      <c r="D111" s="7"/>
      <c r="E111" s="7"/>
      <c r="F111" s="7">
        <f>17109.275799/1000</f>
        <v>17.109275798999999</v>
      </c>
      <c r="G111" s="20"/>
      <c r="H111" s="7" t="s">
        <v>167</v>
      </c>
      <c r="I111" s="1"/>
      <c r="J111" s="1"/>
    </row>
    <row r="112" spans="1:10" x14ac:dyDescent="0.25">
      <c r="A112" s="6">
        <f t="shared" si="4"/>
        <v>106</v>
      </c>
      <c r="B112" s="6">
        <v>7135</v>
      </c>
      <c r="C112" s="1" t="s">
        <v>221</v>
      </c>
      <c r="D112" s="7"/>
      <c r="E112" s="7"/>
      <c r="F112" s="7">
        <f>4455.1013638/1000</f>
        <v>4.4551013638000008</v>
      </c>
      <c r="G112" s="20"/>
      <c r="H112" s="7" t="s">
        <v>167</v>
      </c>
      <c r="I112" s="1"/>
      <c r="J112" s="1"/>
    </row>
    <row r="113" spans="1:10" x14ac:dyDescent="0.25">
      <c r="A113" s="6">
        <f t="shared" si="4"/>
        <v>107</v>
      </c>
      <c r="B113" s="18">
        <v>4161</v>
      </c>
      <c r="C113" s="1" t="s">
        <v>86</v>
      </c>
      <c r="D113" s="7"/>
      <c r="E113" s="7"/>
      <c r="F113" s="7">
        <f>2387.3136/1000</f>
        <v>2.3873136000000001</v>
      </c>
      <c r="G113" s="20">
        <v>31010.178276000002</v>
      </c>
      <c r="H113" s="7" t="s">
        <v>169</v>
      </c>
      <c r="I113" s="1"/>
      <c r="J113" s="1"/>
    </row>
    <row r="114" spans="1:10" x14ac:dyDescent="0.25">
      <c r="A114" s="6">
        <f t="shared" si="4"/>
        <v>108</v>
      </c>
      <c r="B114" s="6">
        <v>4176</v>
      </c>
      <c r="C114" s="1" t="s">
        <v>217</v>
      </c>
      <c r="D114" s="7"/>
      <c r="E114" s="7"/>
      <c r="F114" s="7">
        <f>624.901683000014/1000</f>
        <v>0.62490168300001403</v>
      </c>
      <c r="G114" s="20"/>
      <c r="H114" s="7" t="s">
        <v>169</v>
      </c>
      <c r="I114" s="1"/>
      <c r="J114" s="1"/>
    </row>
    <row r="115" spans="1:10" x14ac:dyDescent="0.25">
      <c r="A115" s="6">
        <f t="shared" ref="A115" si="5">A114+1</f>
        <v>109</v>
      </c>
      <c r="B115" s="1"/>
      <c r="C115" s="16" t="s">
        <v>228</v>
      </c>
      <c r="D115" s="28">
        <f>SUM(D44:D114)</f>
        <v>0</v>
      </c>
      <c r="E115" s="28">
        <f>SUM(E44:E114)</f>
        <v>0</v>
      </c>
      <c r="F115" s="28">
        <f>SUM(F44:F114)</f>
        <v>79248.738150147168</v>
      </c>
      <c r="G115" s="21">
        <f>SUM(G7:G96)</f>
        <v>179997055.30312642</v>
      </c>
      <c r="H115" s="11"/>
      <c r="I115" s="1"/>
      <c r="J115" s="1"/>
    </row>
    <row r="116" spans="1:10" ht="7.5" customHeight="1" x14ac:dyDescent="0.25">
      <c r="A116" s="6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6"/>
      <c r="B117" s="17" t="s">
        <v>200</v>
      </c>
      <c r="C117" s="1" t="s">
        <v>201</v>
      </c>
      <c r="D117" s="1"/>
      <c r="E117" s="1"/>
      <c r="F117" s="1"/>
      <c r="G117" s="1"/>
      <c r="H117" s="1"/>
      <c r="I117" s="1"/>
      <c r="J117" s="1"/>
    </row>
    <row r="118" spans="1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</sheetData>
  <autoFilter ref="A2:J117"/>
  <sortState ref="B44:L114">
    <sortCondition descending="1" ref="F44:F114"/>
  </sortState>
  <pageMargins left="0.7" right="0.7" top="0.75" bottom="0.75" header="0.3" footer="0.3"/>
  <pageSetup scale="62" fitToHeight="0" orientation="landscape" r:id="rId1"/>
  <headerFooter>
    <oddHeader>&amp;C&amp;"Times New Roman,Bold"&amp;12Electric Gross Plant Additions
by ER Project&amp;R&amp;"Times New Roman,Regular"&amp;12Exh. KKS-5</oddHeader>
    <oddFooter>&amp;R&amp;"Times New Roman,Regular"&amp;12Page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="60" zoomScaleNormal="100" workbookViewId="0">
      <selection activeCell="A57" sqref="A57"/>
    </sheetView>
  </sheetViews>
  <sheetFormatPr defaultRowHeight="15" outlineLevelCol="1" x14ac:dyDescent="0.25"/>
  <cols>
    <col min="3" max="3" width="51" customWidth="1"/>
    <col min="4" max="4" width="14.5703125" customWidth="1"/>
    <col min="5" max="6" width="16.5703125" customWidth="1"/>
    <col min="7" max="7" width="23.28515625" hidden="1" customWidth="1" outlineLevel="1"/>
    <col min="8" max="8" width="19.5703125" bestFit="1" customWidth="1" collapsed="1"/>
    <col min="9" max="9" width="18.42578125" bestFit="1" customWidth="1"/>
    <col min="10" max="10" width="21.140625" bestFit="1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39" x14ac:dyDescent="0.25">
      <c r="A2" s="9" t="s">
        <v>223</v>
      </c>
      <c r="B2" s="2" t="s">
        <v>0</v>
      </c>
      <c r="C2" s="2" t="s">
        <v>1</v>
      </c>
      <c r="D2" s="3" t="s">
        <v>2</v>
      </c>
      <c r="E2" s="12" t="s">
        <v>3</v>
      </c>
      <c r="F2" s="3" t="s">
        <v>205</v>
      </c>
      <c r="G2" s="3" t="s">
        <v>4</v>
      </c>
      <c r="H2" s="3" t="s">
        <v>166</v>
      </c>
      <c r="I2" s="12" t="s">
        <v>107</v>
      </c>
      <c r="J2" s="12" t="s">
        <v>108</v>
      </c>
    </row>
    <row r="3" spans="1:10" ht="7.5" customHeight="1" x14ac:dyDescent="0.25">
      <c r="A3" s="6"/>
      <c r="B3" s="22"/>
      <c r="C3" s="22"/>
      <c r="D3" s="4"/>
      <c r="E3" s="5"/>
      <c r="F3" s="4"/>
      <c r="G3" s="4"/>
      <c r="H3" s="4"/>
      <c r="I3" s="5"/>
      <c r="J3" s="5"/>
    </row>
    <row r="4" spans="1:10" x14ac:dyDescent="0.25">
      <c r="A4" s="6">
        <f>A3+1</f>
        <v>1</v>
      </c>
      <c r="B4" s="25" t="s">
        <v>226</v>
      </c>
      <c r="C4" s="22"/>
      <c r="D4" s="24">
        <f>SUM(D12,D27,D55)</f>
        <v>9907.4589999999989</v>
      </c>
      <c r="E4" s="24">
        <f>SUM(E12,E27,E55)</f>
        <v>20966.582054146224</v>
      </c>
      <c r="F4" s="24">
        <f>SUM(F12,F27,F55)</f>
        <v>44321.103876422407</v>
      </c>
      <c r="G4" s="4"/>
      <c r="H4" s="4"/>
      <c r="I4" s="5"/>
      <c r="J4" s="5"/>
    </row>
    <row r="5" spans="1:10" ht="7.5" customHeight="1" x14ac:dyDescent="0.25">
      <c r="A5" s="6"/>
      <c r="B5" s="22"/>
      <c r="C5" s="22"/>
      <c r="D5" s="4"/>
      <c r="E5" s="5"/>
      <c r="F5" s="4"/>
      <c r="G5" s="4"/>
      <c r="H5" s="4"/>
      <c r="I5" s="5"/>
      <c r="J5" s="5"/>
    </row>
    <row r="6" spans="1:10" x14ac:dyDescent="0.25">
      <c r="A6" s="6">
        <f>A4+1</f>
        <v>2</v>
      </c>
      <c r="B6" s="25" t="s">
        <v>224</v>
      </c>
      <c r="C6" s="22"/>
      <c r="D6" s="4"/>
      <c r="E6" s="5"/>
      <c r="F6" s="4"/>
      <c r="G6" s="4"/>
      <c r="H6" s="4"/>
      <c r="I6" s="5"/>
      <c r="J6" s="5"/>
    </row>
    <row r="7" spans="1:10" x14ac:dyDescent="0.25">
      <c r="A7" s="6">
        <f t="shared" ref="A7:A54" si="0">A6+1</f>
        <v>3</v>
      </c>
      <c r="B7" s="6">
        <v>3008</v>
      </c>
      <c r="C7" s="1" t="s">
        <v>90</v>
      </c>
      <c r="D7" s="7">
        <f>6517794/1000</f>
        <v>6517.7939999999999</v>
      </c>
      <c r="E7" s="7">
        <f>8323903.34/1000</f>
        <v>8323.9033400000008</v>
      </c>
      <c r="F7" s="7">
        <f>11257791.6818956/1000</f>
        <v>11257.7916818956</v>
      </c>
      <c r="G7" s="7">
        <v>8619504.269655114</v>
      </c>
      <c r="H7" s="13" t="s">
        <v>167</v>
      </c>
      <c r="I7" s="7" t="s">
        <v>170</v>
      </c>
      <c r="J7" s="1" t="s">
        <v>175</v>
      </c>
    </row>
    <row r="8" spans="1:10" x14ac:dyDescent="0.25">
      <c r="A8" s="6">
        <f t="shared" si="0"/>
        <v>4</v>
      </c>
      <c r="B8" s="6">
        <v>3005</v>
      </c>
      <c r="C8" s="1" t="s">
        <v>91</v>
      </c>
      <c r="D8" s="7">
        <f>1819892/1000</f>
        <v>1819.8920000000001</v>
      </c>
      <c r="E8" s="7">
        <f>2551703.36/1000</f>
        <v>2551.70336</v>
      </c>
      <c r="F8" s="7">
        <f>1739327.56711162/1000</f>
        <v>1739.3275671116201</v>
      </c>
      <c r="G8" s="7">
        <v>3126138.1925000004</v>
      </c>
      <c r="H8" s="13" t="s">
        <v>167</v>
      </c>
      <c r="I8" s="7" t="s">
        <v>171</v>
      </c>
      <c r="J8" s="1" t="s">
        <v>175</v>
      </c>
    </row>
    <row r="9" spans="1:10" ht="16.5" x14ac:dyDescent="0.25">
      <c r="A9" s="6">
        <f t="shared" si="0"/>
        <v>5</v>
      </c>
      <c r="B9" s="6" t="s">
        <v>182</v>
      </c>
      <c r="C9" s="1" t="s">
        <v>9</v>
      </c>
      <c r="D9" s="7">
        <f>941107/1000</f>
        <v>941.10699999999997</v>
      </c>
      <c r="E9" s="7">
        <f>1627442.74797889/1000</f>
        <v>1627.4427479788901</v>
      </c>
      <c r="F9" s="7">
        <f>2972657.30324207/1000</f>
        <v>2972.6573032420702</v>
      </c>
      <c r="G9" s="7">
        <v>2188190.1326861414</v>
      </c>
      <c r="H9" s="13" t="s">
        <v>168</v>
      </c>
      <c r="I9" s="7" t="s">
        <v>155</v>
      </c>
      <c r="J9" s="1" t="s">
        <v>156</v>
      </c>
    </row>
    <row r="10" spans="1:10" ht="16.5" x14ac:dyDescent="0.25">
      <c r="A10" s="6">
        <f t="shared" si="0"/>
        <v>6</v>
      </c>
      <c r="B10" s="6" t="s">
        <v>181</v>
      </c>
      <c r="C10" s="1" t="s">
        <v>7</v>
      </c>
      <c r="D10" s="7">
        <f>423953/1000</f>
        <v>423.95299999999997</v>
      </c>
      <c r="E10" s="7">
        <f>1112584.36724813/1000</f>
        <v>1112.5843672481301</v>
      </c>
      <c r="F10" s="7">
        <f>1955694.98006927/1000</f>
        <v>1955.6949800692698</v>
      </c>
      <c r="G10" s="7">
        <v>2104130.1946385619</v>
      </c>
      <c r="H10" s="13" t="s">
        <v>168</v>
      </c>
      <c r="I10" s="7" t="s">
        <v>179</v>
      </c>
      <c r="J10" s="1" t="s">
        <v>156</v>
      </c>
    </row>
    <row r="11" spans="1:10" ht="16.5" x14ac:dyDescent="0.25">
      <c r="A11" s="6">
        <f t="shared" si="0"/>
        <v>7</v>
      </c>
      <c r="B11" s="6" t="s">
        <v>187</v>
      </c>
      <c r="C11" s="1" t="s">
        <v>27</v>
      </c>
      <c r="D11" s="7">
        <f>204713/1000</f>
        <v>204.71299999999999</v>
      </c>
      <c r="E11" s="7">
        <f>455245.586844964/1000</f>
        <v>455.24558684496401</v>
      </c>
      <c r="F11" s="7">
        <f>1921093.48574364/1000</f>
        <v>1921.09348574364</v>
      </c>
      <c r="G11" s="7">
        <v>548651.73831996426</v>
      </c>
      <c r="H11" s="13" t="s">
        <v>167</v>
      </c>
      <c r="I11" s="7" t="s">
        <v>136</v>
      </c>
      <c r="J11" s="1" t="s">
        <v>149</v>
      </c>
    </row>
    <row r="12" spans="1:10" x14ac:dyDescent="0.25">
      <c r="A12" s="6">
        <f t="shared" si="0"/>
        <v>8</v>
      </c>
      <c r="B12" s="6"/>
      <c r="C12" s="9" t="s">
        <v>230</v>
      </c>
      <c r="D12" s="28">
        <f>SUM(D7:D11)</f>
        <v>9907.4589999999989</v>
      </c>
      <c r="E12" s="28">
        <f>SUM(E7:E11)</f>
        <v>14070.879402071983</v>
      </c>
      <c r="F12" s="28">
        <f>SUM(F7:F11)</f>
        <v>19846.565018062203</v>
      </c>
      <c r="G12" s="7"/>
      <c r="H12" s="1"/>
      <c r="I12" s="1"/>
      <c r="J12" s="1"/>
    </row>
    <row r="13" spans="1:10" ht="7.5" customHeight="1" x14ac:dyDescent="0.25">
      <c r="A13" s="6"/>
      <c r="B13" s="6"/>
      <c r="C13" s="1"/>
      <c r="D13" s="7"/>
      <c r="E13" s="7"/>
      <c r="F13" s="7"/>
      <c r="G13" s="7"/>
      <c r="H13" s="1"/>
      <c r="I13" s="1"/>
      <c r="J13" s="1"/>
    </row>
    <row r="14" spans="1:10" x14ac:dyDescent="0.25">
      <c r="A14" s="6">
        <f>A12+1</f>
        <v>9</v>
      </c>
      <c r="B14" s="27" t="s">
        <v>225</v>
      </c>
      <c r="C14" s="1"/>
      <c r="D14" s="7"/>
      <c r="E14" s="7"/>
      <c r="F14" s="7"/>
      <c r="G14" s="7"/>
      <c r="H14" s="1"/>
      <c r="I14" s="1"/>
      <c r="J14" s="1"/>
    </row>
    <row r="15" spans="1:10" x14ac:dyDescent="0.25">
      <c r="A15" s="6">
        <f t="shared" si="0"/>
        <v>10</v>
      </c>
      <c r="B15" s="6">
        <v>7132</v>
      </c>
      <c r="C15" s="1" t="s">
        <v>93</v>
      </c>
      <c r="D15" s="7"/>
      <c r="E15" s="7">
        <f>1937260.42/1000</f>
        <v>1937.2604199999998</v>
      </c>
      <c r="F15" s="7">
        <f>44965.0840580594/1000</f>
        <v>44.965084058059404</v>
      </c>
      <c r="G15" s="7">
        <v>1947260.4200000002</v>
      </c>
      <c r="H15" s="13" t="s">
        <v>167</v>
      </c>
      <c r="I15" s="7" t="s">
        <v>174</v>
      </c>
      <c r="J15" s="1" t="s">
        <v>178</v>
      </c>
    </row>
    <row r="16" spans="1:10" ht="16.5" x14ac:dyDescent="0.25">
      <c r="A16" s="6">
        <f t="shared" si="0"/>
        <v>11</v>
      </c>
      <c r="B16" s="6" t="s">
        <v>183</v>
      </c>
      <c r="C16" s="1" t="s">
        <v>14</v>
      </c>
      <c r="D16" s="7"/>
      <c r="E16" s="7">
        <f>1703993.21483696/1000</f>
        <v>1703.9932148369599</v>
      </c>
      <c r="F16" s="7">
        <f>1275541.77385413/1000</f>
        <v>1275.54177385413</v>
      </c>
      <c r="G16" s="7">
        <v>1735999.1918943021</v>
      </c>
      <c r="H16" s="13" t="s">
        <v>168</v>
      </c>
      <c r="I16" s="7" t="s">
        <v>158</v>
      </c>
      <c r="J16" s="1" t="s">
        <v>163</v>
      </c>
    </row>
    <row r="17" spans="1:10" x14ac:dyDescent="0.25">
      <c r="A17" s="6">
        <f t="shared" si="0"/>
        <v>12</v>
      </c>
      <c r="B17" s="6">
        <v>7201</v>
      </c>
      <c r="C17" s="1" t="s">
        <v>95</v>
      </c>
      <c r="D17" s="7"/>
      <c r="E17" s="7">
        <f>745725.77720308/1000</f>
        <v>745.72577720308004</v>
      </c>
      <c r="F17" s="7">
        <f>1094679.47843124/1000</f>
        <v>1094.6794784312399</v>
      </c>
      <c r="G17" s="7">
        <v>1053143.9697544207</v>
      </c>
      <c r="H17" s="13" t="s">
        <v>167</v>
      </c>
      <c r="I17" s="7" t="s">
        <v>172</v>
      </c>
      <c r="J17" s="1" t="s">
        <v>176</v>
      </c>
    </row>
    <row r="18" spans="1:10" ht="16.5" x14ac:dyDescent="0.25">
      <c r="A18" s="6">
        <f t="shared" si="0"/>
        <v>13</v>
      </c>
      <c r="B18" s="6" t="s">
        <v>184</v>
      </c>
      <c r="C18" s="1" t="s">
        <v>17</v>
      </c>
      <c r="D18" s="7"/>
      <c r="E18" s="7">
        <f>649767.733559978/1000</f>
        <v>649.76773355997796</v>
      </c>
      <c r="F18" s="7">
        <f>746626.668317306/1000</f>
        <v>746.62666831730598</v>
      </c>
      <c r="G18" s="7">
        <v>1325166.0596099778</v>
      </c>
      <c r="H18" s="13" t="s">
        <v>168</v>
      </c>
      <c r="I18" s="7" t="s">
        <v>180</v>
      </c>
      <c r="J18" s="1" t="s">
        <v>156</v>
      </c>
    </row>
    <row r="19" spans="1:10" ht="16.5" x14ac:dyDescent="0.25">
      <c r="A19" s="6">
        <f t="shared" si="0"/>
        <v>14</v>
      </c>
      <c r="B19" s="6" t="s">
        <v>185</v>
      </c>
      <c r="C19" s="1" t="s">
        <v>19</v>
      </c>
      <c r="D19" s="7"/>
      <c r="E19" s="7">
        <f>553910.405284264/1000</f>
        <v>553.91040528426402</v>
      </c>
      <c r="F19" s="7">
        <f>1107888.63299563/1000</f>
        <v>1107.8886329956299</v>
      </c>
      <c r="G19" s="7">
        <v>553910.40528426424</v>
      </c>
      <c r="H19" s="13" t="s">
        <v>167</v>
      </c>
      <c r="I19" s="7" t="s">
        <v>131</v>
      </c>
      <c r="J19" s="1" t="s">
        <v>145</v>
      </c>
    </row>
    <row r="20" spans="1:10" ht="16.5" x14ac:dyDescent="0.25">
      <c r="A20" s="6">
        <f t="shared" si="0"/>
        <v>15</v>
      </c>
      <c r="B20" s="6" t="s">
        <v>191</v>
      </c>
      <c r="C20" s="1" t="s">
        <v>50</v>
      </c>
      <c r="D20" s="7"/>
      <c r="E20" s="7">
        <f>517759.52868093/1000</f>
        <v>517.75952868092998</v>
      </c>
      <c r="F20" s="7">
        <f>276501.439076445/1000</f>
        <v>276.50143907644502</v>
      </c>
      <c r="G20" s="7">
        <v>517759.52868093009</v>
      </c>
      <c r="H20" s="13" t="s">
        <v>167</v>
      </c>
      <c r="I20" s="7" t="s">
        <v>141</v>
      </c>
      <c r="J20" s="1" t="s">
        <v>154</v>
      </c>
    </row>
    <row r="21" spans="1:10" ht="16.5" x14ac:dyDescent="0.25">
      <c r="A21" s="6">
        <f t="shared" si="0"/>
        <v>16</v>
      </c>
      <c r="B21" s="6" t="s">
        <v>188</v>
      </c>
      <c r="C21" s="1" t="s">
        <v>40</v>
      </c>
      <c r="D21" s="7"/>
      <c r="E21" s="7">
        <f>440330.379053037/1000</f>
        <v>440.33037905303695</v>
      </c>
      <c r="F21" s="7">
        <f>289482.688630418/1000</f>
        <v>289.48268863041795</v>
      </c>
      <c r="G21" s="7">
        <v>440330.37905303668</v>
      </c>
      <c r="H21" s="13" t="s">
        <v>167</v>
      </c>
      <c r="I21" s="7" t="s">
        <v>139</v>
      </c>
      <c r="J21" s="1" t="s">
        <v>152</v>
      </c>
    </row>
    <row r="22" spans="1:10" ht="16.5" x14ac:dyDescent="0.25">
      <c r="A22" s="6">
        <f t="shared" si="0"/>
        <v>17</v>
      </c>
      <c r="B22" s="6" t="s">
        <v>192</v>
      </c>
      <c r="C22" s="1" t="s">
        <v>33</v>
      </c>
      <c r="D22" s="7"/>
      <c r="E22" s="7">
        <f>134866.976529056/1000</f>
        <v>134.86697652905599</v>
      </c>
      <c r="F22" s="7">
        <f>535268.692660763/1000</f>
        <v>535.26869266076301</v>
      </c>
      <c r="G22" s="7">
        <v>176202.79110103101</v>
      </c>
      <c r="H22" s="13" t="s">
        <v>168</v>
      </c>
      <c r="I22" s="7" t="s">
        <v>162</v>
      </c>
      <c r="J22" s="1" t="s">
        <v>165</v>
      </c>
    </row>
    <row r="23" spans="1:10" ht="16.5" x14ac:dyDescent="0.25">
      <c r="A23" s="6">
        <f t="shared" si="0"/>
        <v>18</v>
      </c>
      <c r="B23" s="6" t="s">
        <v>189</v>
      </c>
      <c r="C23" s="1" t="s">
        <v>41</v>
      </c>
      <c r="D23" s="7"/>
      <c r="E23" s="7">
        <f>114346.748679604/1000</f>
        <v>114.346748679604</v>
      </c>
      <c r="F23" s="7">
        <f>256753.934448944/1000</f>
        <v>256.75393444894399</v>
      </c>
      <c r="G23" s="7">
        <v>412182.32178164611</v>
      </c>
      <c r="H23" s="13" t="s">
        <v>168</v>
      </c>
      <c r="I23" s="7" t="s">
        <v>161</v>
      </c>
      <c r="J23" s="1" t="s">
        <v>164</v>
      </c>
    </row>
    <row r="24" spans="1:10" ht="16.5" x14ac:dyDescent="0.25">
      <c r="A24" s="6">
        <f t="shared" si="0"/>
        <v>19</v>
      </c>
      <c r="B24" s="6" t="s">
        <v>186</v>
      </c>
      <c r="C24" s="1" t="s">
        <v>24</v>
      </c>
      <c r="D24" s="7"/>
      <c r="E24" s="7">
        <f>73999.1395758444/1000</f>
        <v>73.999139575844396</v>
      </c>
      <c r="F24" s="7">
        <f>845793.503882724/1000</f>
        <v>845.79350388272394</v>
      </c>
      <c r="G24" s="7">
        <v>951972.70329522225</v>
      </c>
      <c r="H24" s="13" t="s">
        <v>168</v>
      </c>
      <c r="I24" s="7" t="s">
        <v>160</v>
      </c>
      <c r="J24" s="1" t="s">
        <v>163</v>
      </c>
    </row>
    <row r="25" spans="1:10" ht="16.5" x14ac:dyDescent="0.25">
      <c r="A25" s="6">
        <f t="shared" si="0"/>
        <v>20</v>
      </c>
      <c r="B25" s="6" t="s">
        <v>190</v>
      </c>
      <c r="C25" s="1" t="s">
        <v>42</v>
      </c>
      <c r="D25" s="7"/>
      <c r="E25" s="7">
        <f>23742.3286714885/1000</f>
        <v>23.742328671488501</v>
      </c>
      <c r="F25" s="7">
        <f>418648.044423756/1000</f>
        <v>418.64804442375601</v>
      </c>
      <c r="G25" s="7">
        <v>200299.24222516522</v>
      </c>
      <c r="H25" s="13" t="s">
        <v>167</v>
      </c>
      <c r="I25" s="7" t="s">
        <v>140</v>
      </c>
      <c r="J25" s="1" t="s">
        <v>153</v>
      </c>
    </row>
    <row r="26" spans="1:10" x14ac:dyDescent="0.25">
      <c r="A26" s="6">
        <f t="shared" si="0"/>
        <v>21</v>
      </c>
      <c r="B26" s="6">
        <v>3237</v>
      </c>
      <c r="C26" s="1" t="s">
        <v>92</v>
      </c>
      <c r="D26" s="7"/>
      <c r="E26" s="7">
        <f>0/1000</f>
        <v>0</v>
      </c>
      <c r="F26" s="7">
        <f>342000.19/1000</f>
        <v>342.00018999999998</v>
      </c>
      <c r="G26" s="7">
        <v>2342077</v>
      </c>
      <c r="H26" s="13" t="s">
        <v>167</v>
      </c>
      <c r="I26" s="7" t="s">
        <v>173</v>
      </c>
      <c r="J26" s="1" t="s">
        <v>177</v>
      </c>
    </row>
    <row r="27" spans="1:10" x14ac:dyDescent="0.25">
      <c r="A27" s="6">
        <f t="shared" si="0"/>
        <v>22</v>
      </c>
      <c r="B27" s="6"/>
      <c r="C27" s="16" t="s">
        <v>229</v>
      </c>
      <c r="D27" s="29">
        <f>SUM(D15:D26)</f>
        <v>0</v>
      </c>
      <c r="E27" s="29">
        <f>SUM(E15:E26)</f>
        <v>6895.702652074242</v>
      </c>
      <c r="F27" s="29">
        <f>SUM(F15:F26)</f>
        <v>7234.150130779416</v>
      </c>
      <c r="G27" s="14"/>
      <c r="H27" s="1"/>
      <c r="I27" s="1"/>
      <c r="J27" s="1"/>
    </row>
    <row r="28" spans="1:10" ht="7.5" customHeight="1" x14ac:dyDescent="0.25">
      <c r="A28" s="6"/>
      <c r="B28" s="6"/>
      <c r="C28" s="1"/>
      <c r="D28" s="14"/>
      <c r="E28" s="15"/>
      <c r="F28" s="15"/>
      <c r="G28" s="14"/>
      <c r="H28" s="1"/>
      <c r="I28" s="1"/>
      <c r="J28" s="1"/>
    </row>
    <row r="29" spans="1:10" x14ac:dyDescent="0.25">
      <c r="A29" s="6">
        <f>A27+1</f>
        <v>23</v>
      </c>
      <c r="B29" s="27" t="s">
        <v>227</v>
      </c>
      <c r="C29" s="1"/>
      <c r="D29" s="14"/>
      <c r="E29" s="15"/>
      <c r="F29" s="15"/>
      <c r="G29" s="14"/>
      <c r="H29" s="1"/>
      <c r="I29" s="1"/>
      <c r="J29" s="1"/>
    </row>
    <row r="30" spans="1:10" x14ac:dyDescent="0.25">
      <c r="A30" s="6">
        <f t="shared" si="0"/>
        <v>24</v>
      </c>
      <c r="B30" s="6">
        <v>1001</v>
      </c>
      <c r="C30" s="1" t="s">
        <v>89</v>
      </c>
      <c r="D30" s="7"/>
      <c r="E30" s="7"/>
      <c r="F30" s="7">
        <f>9203525.93926609/1000</f>
        <v>9203.5259392660901</v>
      </c>
      <c r="G30" s="7">
        <v>15533161.287000004</v>
      </c>
      <c r="H30" s="13" t="s">
        <v>167</v>
      </c>
      <c r="I30" s="1"/>
      <c r="J30" s="1"/>
    </row>
    <row r="31" spans="1:10" x14ac:dyDescent="0.25">
      <c r="A31" s="6">
        <f t="shared" si="0"/>
        <v>25</v>
      </c>
      <c r="B31" s="6">
        <v>3003</v>
      </c>
      <c r="C31" s="1" t="s">
        <v>98</v>
      </c>
      <c r="D31" s="7"/>
      <c r="E31" s="7"/>
      <c r="F31" s="7">
        <f>1513362.25726959/1000</f>
        <v>1513.3622572695899</v>
      </c>
      <c r="G31" s="7">
        <v>552224.8885</v>
      </c>
      <c r="H31" s="13" t="s">
        <v>167</v>
      </c>
      <c r="I31" s="1"/>
      <c r="J31" s="1"/>
    </row>
    <row r="32" spans="1:10" x14ac:dyDescent="0.25">
      <c r="A32" s="6">
        <f t="shared" si="0"/>
        <v>26</v>
      </c>
      <c r="B32" s="6">
        <v>7139</v>
      </c>
      <c r="C32" s="1" t="s">
        <v>23</v>
      </c>
      <c r="D32" s="7"/>
      <c r="E32" s="7"/>
      <c r="F32" s="7">
        <f>1411346.03862/1000</f>
        <v>1411.3460386199999</v>
      </c>
      <c r="G32" s="7"/>
      <c r="H32" s="13" t="s">
        <v>167</v>
      </c>
      <c r="I32" s="1"/>
      <c r="J32" s="1"/>
    </row>
    <row r="33" spans="1:10" x14ac:dyDescent="0.25">
      <c r="A33" s="6">
        <f t="shared" si="0"/>
        <v>27</v>
      </c>
      <c r="B33" s="6">
        <v>3007</v>
      </c>
      <c r="C33" s="1" t="s">
        <v>97</v>
      </c>
      <c r="D33" s="7"/>
      <c r="E33" s="7"/>
      <c r="F33" s="7">
        <f>1044916/1000</f>
        <v>1044.9159999999999</v>
      </c>
      <c r="G33" s="7">
        <v>560622.15999999992</v>
      </c>
      <c r="H33" s="13" t="s">
        <v>167</v>
      </c>
      <c r="I33" s="1"/>
      <c r="J33" s="1"/>
    </row>
    <row r="34" spans="1:10" x14ac:dyDescent="0.25">
      <c r="A34" s="6">
        <f t="shared" si="0"/>
        <v>28</v>
      </c>
      <c r="B34" s="6">
        <v>1050</v>
      </c>
      <c r="C34" s="1" t="s">
        <v>94</v>
      </c>
      <c r="D34" s="7"/>
      <c r="E34" s="7"/>
      <c r="F34" s="7">
        <f>699264.483370182/1000</f>
        <v>699.26448337018201</v>
      </c>
      <c r="G34" s="7">
        <v>1263316.3875900002</v>
      </c>
      <c r="H34" s="13" t="s">
        <v>167</v>
      </c>
      <c r="I34" s="1"/>
      <c r="J34" s="1"/>
    </row>
    <row r="35" spans="1:10" x14ac:dyDescent="0.25">
      <c r="A35" s="6">
        <f t="shared" si="0"/>
        <v>29</v>
      </c>
      <c r="B35" s="6">
        <v>3004</v>
      </c>
      <c r="C35" s="1" t="s">
        <v>103</v>
      </c>
      <c r="D35" s="7"/>
      <c r="E35" s="7"/>
      <c r="F35" s="7">
        <f>619978.32/1000</f>
        <v>619.97831999999994</v>
      </c>
      <c r="G35" s="7">
        <v>418344.33</v>
      </c>
      <c r="H35" s="13" t="s">
        <v>167</v>
      </c>
      <c r="I35" s="1"/>
      <c r="J35" s="1"/>
    </row>
    <row r="36" spans="1:10" x14ac:dyDescent="0.25">
      <c r="A36" s="6">
        <f t="shared" si="0"/>
        <v>30</v>
      </c>
      <c r="B36" s="6">
        <v>3002</v>
      </c>
      <c r="C36" s="1" t="s">
        <v>100</v>
      </c>
      <c r="D36" s="7"/>
      <c r="E36" s="7"/>
      <c r="F36" s="7">
        <f>563403.563418096/1000</f>
        <v>563.40356341809604</v>
      </c>
      <c r="G36" s="7">
        <v>436189.76</v>
      </c>
      <c r="H36" s="13" t="s">
        <v>167</v>
      </c>
      <c r="I36" s="1"/>
      <c r="J36" s="1"/>
    </row>
    <row r="37" spans="1:10" x14ac:dyDescent="0.25">
      <c r="A37" s="6">
        <f t="shared" si="0"/>
        <v>31</v>
      </c>
      <c r="B37" s="6">
        <v>3000</v>
      </c>
      <c r="C37" s="1" t="s">
        <v>102</v>
      </c>
      <c r="D37" s="7"/>
      <c r="E37" s="7"/>
      <c r="F37" s="7">
        <f>454550/1000</f>
        <v>454.55</v>
      </c>
      <c r="G37" s="7">
        <v>418988.59600000002</v>
      </c>
      <c r="H37" s="13" t="s">
        <v>167</v>
      </c>
      <c r="I37" s="1"/>
      <c r="J37" s="1"/>
    </row>
    <row r="38" spans="1:10" x14ac:dyDescent="0.25">
      <c r="A38" s="6">
        <f t="shared" si="0"/>
        <v>32</v>
      </c>
      <c r="B38" s="6">
        <v>3055</v>
      </c>
      <c r="C38" s="1" t="s">
        <v>96</v>
      </c>
      <c r="D38" s="7"/>
      <c r="E38" s="7"/>
      <c r="F38" s="7">
        <f>391661/1000</f>
        <v>391.661</v>
      </c>
      <c r="G38" s="7">
        <v>910688.00999999989</v>
      </c>
      <c r="H38" s="13" t="s">
        <v>167</v>
      </c>
      <c r="I38" s="1"/>
      <c r="J38" s="1"/>
    </row>
    <row r="39" spans="1:10" x14ac:dyDescent="0.25">
      <c r="A39" s="6">
        <f t="shared" si="0"/>
        <v>33</v>
      </c>
      <c r="B39" s="6">
        <v>1051</v>
      </c>
      <c r="C39" s="1" t="s">
        <v>101</v>
      </c>
      <c r="D39" s="7"/>
      <c r="E39" s="7"/>
      <c r="F39" s="7">
        <f>273661.942000545/1000</f>
        <v>273.66194200054497</v>
      </c>
      <c r="G39" s="7">
        <v>435686.27500000002</v>
      </c>
      <c r="H39" s="13" t="s">
        <v>167</v>
      </c>
      <c r="I39" s="1"/>
      <c r="J39" s="1"/>
    </row>
    <row r="40" spans="1:10" ht="16.5" x14ac:dyDescent="0.25">
      <c r="A40" s="6">
        <f t="shared" si="0"/>
        <v>34</v>
      </c>
      <c r="B40" s="6" t="s">
        <v>234</v>
      </c>
      <c r="C40" s="1" t="s">
        <v>222</v>
      </c>
      <c r="D40" s="7"/>
      <c r="E40" s="7"/>
      <c r="F40" s="7">
        <f>210418.1919/1000</f>
        <v>210.41819190000001</v>
      </c>
      <c r="G40" s="7"/>
      <c r="H40" s="13" t="s">
        <v>167</v>
      </c>
      <c r="I40" s="1"/>
      <c r="J40" s="1"/>
    </row>
    <row r="41" spans="1:10" x14ac:dyDescent="0.25">
      <c r="A41" s="6">
        <f t="shared" si="0"/>
        <v>35</v>
      </c>
      <c r="B41" s="6">
        <v>3304</v>
      </c>
      <c r="C41" s="1" t="s">
        <v>213</v>
      </c>
      <c r="D41" s="7"/>
      <c r="E41" s="7"/>
      <c r="F41" s="7">
        <f>112982.79/1000</f>
        <v>112.98278999999999</v>
      </c>
      <c r="G41" s="7"/>
      <c r="H41" s="13" t="s">
        <v>167</v>
      </c>
      <c r="I41" s="1"/>
      <c r="J41" s="1"/>
    </row>
    <row r="42" spans="1:10" x14ac:dyDescent="0.25">
      <c r="A42" s="6">
        <f t="shared" si="0"/>
        <v>36</v>
      </c>
      <c r="B42" s="6">
        <v>1053</v>
      </c>
      <c r="C42" s="1" t="s">
        <v>99</v>
      </c>
      <c r="D42" s="7"/>
      <c r="E42" s="7"/>
      <c r="F42" s="7">
        <f>110469.065319258/1000</f>
        <v>110.46906531925801</v>
      </c>
      <c r="G42" s="7">
        <v>483638.12800000003</v>
      </c>
      <c r="H42" s="13" t="s">
        <v>167</v>
      </c>
      <c r="I42" s="1"/>
      <c r="J42" s="1"/>
    </row>
    <row r="43" spans="1:10" ht="16.5" x14ac:dyDescent="0.25">
      <c r="A43" s="6">
        <f t="shared" si="0"/>
        <v>37</v>
      </c>
      <c r="B43" s="6" t="s">
        <v>193</v>
      </c>
      <c r="C43" s="1" t="s">
        <v>67</v>
      </c>
      <c r="D43" s="7"/>
      <c r="E43" s="7"/>
      <c r="F43" s="7">
        <f>103960.177008221/1000</f>
        <v>103.960177008221</v>
      </c>
      <c r="G43" s="7">
        <v>91412.192143837296</v>
      </c>
      <c r="H43" s="13" t="s">
        <v>167</v>
      </c>
      <c r="I43" s="1"/>
      <c r="J43" s="1"/>
    </row>
    <row r="44" spans="1:10" x14ac:dyDescent="0.25">
      <c r="A44" s="6">
        <f t="shared" si="0"/>
        <v>38</v>
      </c>
      <c r="B44" s="6">
        <v>3006</v>
      </c>
      <c r="C44" s="1" t="s">
        <v>106</v>
      </c>
      <c r="D44" s="7"/>
      <c r="E44" s="7"/>
      <c r="F44" s="7">
        <f>100000/1000</f>
        <v>100</v>
      </c>
      <c r="G44" s="7">
        <v>20254.050000000003</v>
      </c>
      <c r="H44" s="13" t="s">
        <v>167</v>
      </c>
      <c r="I44" s="1"/>
      <c r="J44" s="1"/>
    </row>
    <row r="45" spans="1:10" ht="16.5" x14ac:dyDescent="0.25">
      <c r="A45" s="6">
        <f t="shared" si="0"/>
        <v>39</v>
      </c>
      <c r="B45" s="6" t="s">
        <v>204</v>
      </c>
      <c r="C45" s="1" t="s">
        <v>104</v>
      </c>
      <c r="D45" s="7"/>
      <c r="E45" s="7"/>
      <c r="F45" s="7">
        <f>93281.4888389945/1000</f>
        <v>93.281488838994491</v>
      </c>
      <c r="G45" s="7">
        <v>160903.92209676353</v>
      </c>
      <c r="H45" s="13" t="s">
        <v>168</v>
      </c>
      <c r="I45" s="1"/>
      <c r="J45" s="1"/>
    </row>
    <row r="46" spans="1:10" ht="16.5" x14ac:dyDescent="0.25">
      <c r="A46" s="6">
        <f t="shared" si="0"/>
        <v>40</v>
      </c>
      <c r="B46" s="6" t="s">
        <v>203</v>
      </c>
      <c r="C46" s="1" t="s">
        <v>233</v>
      </c>
      <c r="D46" s="7"/>
      <c r="E46" s="7"/>
      <c r="F46" s="7">
        <f>86383.9131746911/1000</f>
        <v>86.383913174691102</v>
      </c>
      <c r="G46" s="7">
        <v>90025.869074182643</v>
      </c>
      <c r="H46" s="13" t="s">
        <v>167</v>
      </c>
      <c r="I46" s="1"/>
      <c r="J46" s="1"/>
    </row>
    <row r="47" spans="1:10" ht="16.5" x14ac:dyDescent="0.25">
      <c r="A47" s="6">
        <f t="shared" si="0"/>
        <v>41</v>
      </c>
      <c r="B47" s="6" t="s">
        <v>196</v>
      </c>
      <c r="C47" s="1" t="s">
        <v>79</v>
      </c>
      <c r="D47" s="7"/>
      <c r="E47" s="7"/>
      <c r="F47" s="7">
        <f>74829.9077717679/1000</f>
        <v>74.829907771767907</v>
      </c>
      <c r="G47" s="7">
        <v>38248.8317978423</v>
      </c>
      <c r="H47" s="13" t="s">
        <v>168</v>
      </c>
      <c r="I47" s="1"/>
      <c r="J47" s="1"/>
    </row>
    <row r="48" spans="1:10" x14ac:dyDescent="0.25">
      <c r="A48" s="6">
        <f t="shared" si="0"/>
        <v>42</v>
      </c>
      <c r="B48" s="6">
        <v>3117</v>
      </c>
      <c r="C48" s="1" t="s">
        <v>105</v>
      </c>
      <c r="D48" s="7"/>
      <c r="E48" s="7"/>
      <c r="F48" s="7">
        <f>56249.9102/1000</f>
        <v>56.249910199999995</v>
      </c>
      <c r="G48" s="7">
        <v>69138.749999999985</v>
      </c>
      <c r="H48" s="13" t="s">
        <v>167</v>
      </c>
      <c r="I48" s="1"/>
      <c r="J48" s="1"/>
    </row>
    <row r="49" spans="1:10" ht="16.5" x14ac:dyDescent="0.25">
      <c r="A49" s="6">
        <f t="shared" si="0"/>
        <v>43</v>
      </c>
      <c r="B49" s="6" t="s">
        <v>197</v>
      </c>
      <c r="C49" s="1" t="s">
        <v>80</v>
      </c>
      <c r="D49" s="7"/>
      <c r="E49" s="7"/>
      <c r="F49" s="7">
        <f>43435.8950986092/1000</f>
        <v>43.435895098609201</v>
      </c>
      <c r="G49" s="7">
        <v>37355.229516858119</v>
      </c>
      <c r="H49" s="13" t="s">
        <v>167</v>
      </c>
      <c r="I49" s="1"/>
      <c r="J49" s="1"/>
    </row>
    <row r="50" spans="1:10" ht="16.5" x14ac:dyDescent="0.25">
      <c r="A50" s="6">
        <f t="shared" si="0"/>
        <v>44</v>
      </c>
      <c r="B50" s="6" t="s">
        <v>194</v>
      </c>
      <c r="C50" s="1" t="s">
        <v>73</v>
      </c>
      <c r="D50" s="7"/>
      <c r="E50" s="7"/>
      <c r="F50" s="7">
        <f>41487.3454882782/1000</f>
        <v>41.487345488278201</v>
      </c>
      <c r="G50" s="7">
        <v>53031.379862391841</v>
      </c>
      <c r="H50" s="13" t="s">
        <v>167</v>
      </c>
      <c r="I50" s="1"/>
      <c r="J50" s="1"/>
    </row>
    <row r="51" spans="1:10" ht="16.5" x14ac:dyDescent="0.25">
      <c r="A51" s="6">
        <f t="shared" si="0"/>
        <v>45</v>
      </c>
      <c r="B51" s="6" t="s">
        <v>195</v>
      </c>
      <c r="C51" s="1" t="s">
        <v>77</v>
      </c>
      <c r="D51" s="7"/>
      <c r="E51" s="7"/>
      <c r="F51" s="7">
        <f>14284.9459622563/1000</f>
        <v>14.2849459622563</v>
      </c>
      <c r="G51" s="7">
        <v>46502.896703851387</v>
      </c>
      <c r="H51" s="13" t="s">
        <v>168</v>
      </c>
      <c r="I51" s="1"/>
      <c r="J51" s="1"/>
    </row>
    <row r="52" spans="1:10" ht="16.5" x14ac:dyDescent="0.25">
      <c r="A52" s="6">
        <f t="shared" si="0"/>
        <v>46</v>
      </c>
      <c r="B52" s="6" t="s">
        <v>199</v>
      </c>
      <c r="C52" s="1" t="s">
        <v>88</v>
      </c>
      <c r="D52" s="7"/>
      <c r="E52" s="7"/>
      <c r="F52" s="7">
        <f>8416.727676/1000</f>
        <v>8.4167276760000007</v>
      </c>
      <c r="G52" s="7">
        <v>2757.0348846624142</v>
      </c>
      <c r="H52" s="13" t="s">
        <v>167</v>
      </c>
      <c r="I52" s="1"/>
      <c r="J52" s="1"/>
    </row>
    <row r="53" spans="1:10" ht="16.5" x14ac:dyDescent="0.25">
      <c r="A53" s="6">
        <f t="shared" si="0"/>
        <v>47</v>
      </c>
      <c r="B53" s="6" t="s">
        <v>198</v>
      </c>
      <c r="C53" s="1" t="s">
        <v>83</v>
      </c>
      <c r="D53" s="7"/>
      <c r="E53" s="7"/>
      <c r="F53" s="7">
        <f>7297.33656200271/1000</f>
        <v>7.2973365620027097</v>
      </c>
      <c r="G53" s="7">
        <v>11151.362382399999</v>
      </c>
      <c r="H53" s="13" t="s">
        <v>167</v>
      </c>
      <c r="I53" s="1"/>
      <c r="J53" s="1"/>
    </row>
    <row r="54" spans="1:10" x14ac:dyDescent="0.25">
      <c r="A54" s="6">
        <f t="shared" si="0"/>
        <v>48</v>
      </c>
      <c r="B54" s="6">
        <v>7135</v>
      </c>
      <c r="C54" s="1" t="s">
        <v>221</v>
      </c>
      <c r="D54" s="7"/>
      <c r="E54" s="7"/>
      <c r="F54" s="7">
        <f>1221.4886362/1000</f>
        <v>1.2214886361999999</v>
      </c>
      <c r="G54" s="7"/>
      <c r="H54" s="13" t="s">
        <v>167</v>
      </c>
      <c r="I54" s="1"/>
      <c r="J54" s="1"/>
    </row>
    <row r="55" spans="1:10" x14ac:dyDescent="0.25">
      <c r="A55" s="6">
        <f>A54+1</f>
        <v>49</v>
      </c>
      <c r="B55" s="1"/>
      <c r="C55" s="16" t="s">
        <v>228</v>
      </c>
      <c r="D55" s="28">
        <f>SUM(D30:D54)</f>
        <v>0</v>
      </c>
      <c r="E55" s="28">
        <f>SUM(E30:E54)</f>
        <v>0</v>
      </c>
      <c r="F55" s="28">
        <f>SUM(F30:F54)</f>
        <v>17240.388727580783</v>
      </c>
      <c r="G55" s="10">
        <f>SUM(G7:G53)</f>
        <v>49876559.881032564</v>
      </c>
      <c r="H55" s="1"/>
      <c r="I55" s="1"/>
      <c r="J55" s="1"/>
    </row>
    <row r="56" spans="1:10" x14ac:dyDescent="0.25">
      <c r="A56" s="6"/>
      <c r="B56" s="1"/>
      <c r="C56" s="1"/>
      <c r="D56" s="1"/>
      <c r="E56" s="1"/>
      <c r="F56" s="1"/>
      <c r="G56" s="1"/>
      <c r="H56" s="1"/>
      <c r="I56" s="1"/>
      <c r="J56" s="1"/>
    </row>
    <row r="57" spans="1:10" ht="29.25" customHeight="1" x14ac:dyDescent="0.25">
      <c r="A57" s="36"/>
      <c r="B57" s="31" t="s">
        <v>200</v>
      </c>
      <c r="C57" s="37" t="s">
        <v>232</v>
      </c>
      <c r="D57" s="37"/>
      <c r="E57" s="37"/>
      <c r="F57" s="37"/>
      <c r="G57" s="1"/>
      <c r="H57" s="1"/>
      <c r="I57" s="1"/>
      <c r="J57" s="1"/>
    </row>
  </sheetData>
  <autoFilter ref="A2:K57"/>
  <sortState ref="B30:L57">
    <sortCondition descending="1" ref="F30:F57"/>
  </sortState>
  <mergeCells count="1">
    <mergeCell ref="C57:F57"/>
  </mergeCells>
  <pageMargins left="0.7" right="0.7" top="0.75" bottom="0.75" header="0.3" footer="0.3"/>
  <pageSetup scale="69" fitToHeight="0" orientation="landscape" r:id="rId1"/>
  <headerFooter>
    <oddHeader>&amp;C&amp;"Times New Roman,Bold"&amp;12Natural Gas Gross Plant Additions
by ER Project&amp;R&amp;"Times New Roman,Regular"&amp;12Exh. KKS-5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5EA6D05-306C-48B6-ACFB-DAB25E3ACA2B}"/>
</file>

<file path=customXml/itemProps2.xml><?xml version="1.0" encoding="utf-8"?>
<ds:datastoreItem xmlns:ds="http://schemas.openxmlformats.org/officeDocument/2006/customXml" ds:itemID="{DAD7B4E4-8CE3-47B2-B90A-863B4917AD4E}"/>
</file>

<file path=customXml/itemProps3.xml><?xml version="1.0" encoding="utf-8"?>
<ds:datastoreItem xmlns:ds="http://schemas.openxmlformats.org/officeDocument/2006/customXml" ds:itemID="{D8346FF7-4658-46B9-9DAE-7AD9BDE5A50B}"/>
</file>

<file path=customXml/itemProps4.xml><?xml version="1.0" encoding="utf-8"?>
<ds:datastoreItem xmlns:ds="http://schemas.openxmlformats.org/officeDocument/2006/customXml" ds:itemID="{B7C72BC0-D012-4BB7-AD92-5EA4C6B12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Electric</vt:lpstr>
      <vt:lpstr>NaturalGas</vt:lpstr>
      <vt:lpstr>Electric!Print_Area</vt:lpstr>
      <vt:lpstr>NaturalGas!Print_Area</vt:lpstr>
      <vt:lpstr>Electric!Print_Titles</vt:lpstr>
      <vt:lpstr>NaturalGas!Print_Titles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David Machado</cp:lastModifiedBy>
  <cp:lastPrinted>2017-11-22T00:17:02Z</cp:lastPrinted>
  <dcterms:created xsi:type="dcterms:W3CDTF">2017-11-13T17:35:08Z</dcterms:created>
  <dcterms:modified xsi:type="dcterms:W3CDTF">2017-11-29T17:16:14Z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