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1.bin" ContentType="application/vnd.openxmlformats-officedocument.spreadsheetml.customProperty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30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0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5.bin" ContentType="application/vnd.openxmlformats-officedocument.spreadsheetml.customProperty"/>
  <Override PartName="/xl/customProperty2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3 BLR Update\230805-PSE-WP-REVREQ-COS-2023-BLR-UPDATE-12-2023(C)\"/>
    </mc:Choice>
  </mc:AlternateContent>
  <bookViews>
    <workbookView xWindow="14505" yWindow="-15" windowWidth="14310" windowHeight="7320" tabRatio="861"/>
  </bookViews>
  <sheets>
    <sheet name="Lead" sheetId="126" r:id="rId1"/>
    <sheet name="Power Cost Bridge to A-1" sheetId="83" r:id="rId2"/>
    <sheet name="2024 (NEW)" sheetId="173" r:id="rId3"/>
    <sheet name="2022GRC=&gt;" sheetId="175" r:id="rId4"/>
    <sheet name="2023" sheetId="174" r:id="rId5"/>
    <sheet name="PKW BR-02" sheetId="170" r:id="rId6"/>
    <sheet name="Power Cost summary" sheetId="171" r:id="rId7"/>
    <sheet name="MAC6_Prod O&amp;M Summary " sheetId="165" r:id="rId8"/>
    <sheet name="TY 557xorder" sheetId="169" r:id="rId9"/>
    <sheet name="B&amp;T 557 Forecast" sheetId="84" r:id="rId10"/>
    <sheet name="B&amp;T O&amp;M TY" sheetId="85" r:id="rId11"/>
    <sheet name="B&amp;T O&amp;M Forecast" sheetId="166" r:id="rId12"/>
    <sheet name="Centralia Equity Kicker" sheetId="86" r:id="rId13"/>
    <sheet name="Transmission Revenue" sheetId="144" r:id="rId14"/>
    <sheet name="TY Orders" sheetId="49" r:id="rId15"/>
    <sheet name="Restating Section=&gt;" sheetId="145" r:id="rId16"/>
    <sheet name="Summary Normalization" sheetId="149" r:id="rId17"/>
    <sheet name="Load Impact to Cost &amp; Rev" sheetId="150" r:id="rId18"/>
    <sheet name="Load Temp Adj" sheetId="151" r:id="rId19"/>
    <sheet name="12MOE Jun-21 Hydro" sheetId="152" r:id="rId20"/>
    <sheet name="12MOE Jun-21 Wind" sheetId="153" r:id="rId21"/>
    <sheet name="Support--&gt;" sheetId="154" r:id="rId22"/>
    <sheet name="EA Database" sheetId="155" r:id="rId23"/>
    <sheet name="BAGE &amp; SAGE" sheetId="156" r:id="rId24"/>
    <sheet name="PKW-WP ENERG" sheetId="157" r:id="rId25"/>
    <sheet name="Wind Forecast" sheetId="158" r:id="rId26"/>
    <sheet name="CEA Forecast" sheetId="159" r:id="rId27"/>
    <sheet name="Wind Integration Costs" sheetId="160" r:id="rId28"/>
    <sheet name="Price" sheetId="161" r:id="rId29"/>
    <sheet name="PCA Calc=&gt;" sheetId="162" r:id="rId30"/>
    <sheet name="Sched B 12MOE Jun-21" sheetId="163" r:id="rId31"/>
    <sheet name="Actuals 12MOE Jun-21" sheetId="164" r:id="rId32"/>
    <sheet name="FERC" sheetId="146" r:id="rId33"/>
  </sheets>
  <externalReferences>
    <externalReference r:id="rId34"/>
    <externalReference r:id="rId35"/>
    <externalReference r:id="rId36"/>
  </externalReferences>
  <definedNames>
    <definedName name="_________________ex1" localSheetId="4" hidden="1">{#N/A,#N/A,FALSE,"Summ";#N/A,#N/A,FALSE,"General"}</definedName>
    <definedName name="_________________ex1" hidden="1">{#N/A,#N/A,FALSE,"Summ";#N/A,#N/A,FALSE,"General"}</definedName>
    <definedName name="_________________new1" localSheetId="4" hidden="1">{#N/A,#N/A,FALSE,"Summ";#N/A,#N/A,FALSE,"General"}</definedName>
    <definedName name="_________________new1" hidden="1">{#N/A,#N/A,FALSE,"Summ";#N/A,#N/A,FALSE,"General"}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4" hidden="1">{#N/A,#N/A,FALSE,"Summ";#N/A,#N/A,FALSE,"General"}</definedName>
    <definedName name="________________ex1" hidden="1">{#N/A,#N/A,FALSE,"Summ";#N/A,#N/A,FALSE,"General"}</definedName>
    <definedName name="________________new1" localSheetId="4" hidden="1">{#N/A,#N/A,FALSE,"Summ";#N/A,#N/A,FALSE,"General"}</definedName>
    <definedName name="________________new1" hidden="1">{#N/A,#N/A,FALSE,"Summ";#N/A,#N/A,FALSE,"General"}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4" hidden="1">{#N/A,#N/A,FALSE,"Summ";#N/A,#N/A,FALSE,"General"}</definedName>
    <definedName name="_______________ex1" hidden="1">{#N/A,#N/A,FALSE,"Summ";#N/A,#N/A,FALSE,"General"}</definedName>
    <definedName name="_______________new1" localSheetId="4" hidden="1">{#N/A,#N/A,FALSE,"Summ";#N/A,#N/A,FALSE,"General"}</definedName>
    <definedName name="_______________new1" hidden="1">{#N/A,#N/A,FALSE,"Summ";#N/A,#N/A,FALSE,"General"}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4" hidden="1">{#N/A,#N/A,FALSE,"Summ";#N/A,#N/A,FALSE,"General"}</definedName>
    <definedName name="______________ex1" hidden="1">{#N/A,#N/A,FALSE,"Summ";#N/A,#N/A,FALSE,"General"}</definedName>
    <definedName name="______________new1" localSheetId="4" hidden="1">{#N/A,#N/A,FALSE,"Summ";#N/A,#N/A,FALSE,"General"}</definedName>
    <definedName name="______________new1" hidden="1">{#N/A,#N/A,FALSE,"Summ";#N/A,#N/A,FALSE,"General"}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4" hidden="1">{#N/A,#N/A,FALSE,"Summ";#N/A,#N/A,FALSE,"General"}</definedName>
    <definedName name="_____________ex1" hidden="1">{#N/A,#N/A,FALSE,"Summ";#N/A,#N/A,FALSE,"General"}</definedName>
    <definedName name="_____________new1" localSheetId="4" hidden="1">{#N/A,#N/A,FALSE,"Summ";#N/A,#N/A,FALSE,"General"}</definedName>
    <definedName name="_____________new1" hidden="1">{#N/A,#N/A,FALSE,"Summ";#N/A,#N/A,FALSE,"General"}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4" hidden="1">{#N/A,#N/A,FALSE,"Summ";#N/A,#N/A,FALSE,"General"}</definedName>
    <definedName name="____________ex1" hidden="1">{#N/A,#N/A,FALSE,"Summ";#N/A,#N/A,FALSE,"General"}</definedName>
    <definedName name="____________new1" localSheetId="4" hidden="1">{#N/A,#N/A,FALSE,"Summ";#N/A,#N/A,FALSE,"General"}</definedName>
    <definedName name="____________new1" hidden="1">{#N/A,#N/A,FALSE,"Summ";#N/A,#N/A,FALSE,"General"}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4" hidden="1">{#N/A,#N/A,FALSE,"Summ";#N/A,#N/A,FALSE,"General"}</definedName>
    <definedName name="___________ex1" hidden="1">{#N/A,#N/A,FALSE,"Summ";#N/A,#N/A,FALSE,"General"}</definedName>
    <definedName name="___________new1" localSheetId="4" hidden="1">{#N/A,#N/A,FALSE,"Summ";#N/A,#N/A,FALSE,"General"}</definedName>
    <definedName name="___________new1" hidden="1">{#N/A,#N/A,FALSE,"Summ";#N/A,#N/A,FALSE,"General"}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4" hidden="1">{#N/A,#N/A,FALSE,"Summ";#N/A,#N/A,FALSE,"General"}</definedName>
    <definedName name="__________ex1" hidden="1">{#N/A,#N/A,FALSE,"Summ";#N/A,#N/A,FALSE,"General"}</definedName>
    <definedName name="__________new1" localSheetId="4" hidden="1">{#N/A,#N/A,FALSE,"Summ";#N/A,#N/A,FALSE,"General"}</definedName>
    <definedName name="__________new1" hidden="1">{#N/A,#N/A,FALSE,"Summ";#N/A,#N/A,FALSE,"General"}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4" hidden="1">{#N/A,#N/A,FALSE,"Summ";#N/A,#N/A,FALSE,"General"}</definedName>
    <definedName name="_________ex1" hidden="1">{#N/A,#N/A,FALSE,"Summ";#N/A,#N/A,FALSE,"General"}</definedName>
    <definedName name="_________new1" localSheetId="4" hidden="1">{#N/A,#N/A,FALSE,"Summ";#N/A,#N/A,FALSE,"General"}</definedName>
    <definedName name="_________new1" hidden="1">{#N/A,#N/A,FALSE,"Summ";#N/A,#N/A,FALSE,"General"}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4" hidden="1">{#N/A,#N/A,FALSE,"Summ";#N/A,#N/A,FALSE,"General"}</definedName>
    <definedName name="________ex1" hidden="1">{#N/A,#N/A,FALSE,"Summ";#N/A,#N/A,FALSE,"General"}</definedName>
    <definedName name="________new1" localSheetId="4" hidden="1">{#N/A,#N/A,FALSE,"Summ";#N/A,#N/A,FALSE,"General"}</definedName>
    <definedName name="________new1" hidden="1">{#N/A,#N/A,FALSE,"Summ";#N/A,#N/A,FALSE,"General"}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Jun09">" BS!$AI$7:$AI$1643"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Jun09">" BS!$AI$7:$AI$1643"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4" hidden="1">{#N/A,#N/A,FALSE,"Summ";#N/A,#N/A,FALSE,"General"}</definedName>
    <definedName name="__ex1" hidden="1">{#N/A,#N/A,FALSE,"Summ";#N/A,#N/A,FALSE,"General"}</definedName>
    <definedName name="__Jun09">" BS!$AI$7:$AI$1643"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hidden="1">#REF!</definedName>
    <definedName name="_xlnm._FilterDatabase" localSheetId="11" hidden="1">'B&amp;T O&amp;M Forecast'!$A$2:$T$832</definedName>
    <definedName name="_Jun09">" BS!$AI$7:$AI$1643"</definedName>
    <definedName name="_Key1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4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" localSheetId="4">IF(Loan_Amount*Interest_Rate*Loan_Years*Loan_Start&gt;0,1,0)</definedName>
    <definedName name="h">IF(Loan_Amount*Interest_Rate*Loan_Years*Loan_Start&gt;0,1,0)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4">{"'Sheet1'!$A$1:$J$121"}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4">IF([2]!Values_Entered,Header_Row+[2]!Number_of_Payments,Header_Row)</definedName>
    <definedName name="Last_Row" localSheetId="2">IF('2024 (NEW)'!Values_Entered,Header_Row+'2024 (NEW)'!Number_of_Payments,Header_Row)</definedName>
    <definedName name="Last_Row">IF([2]!Values_Entered,Header_Row+[2]!Number_of_Payments,Header_Row)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Number_of_Payments" localSheetId="4">MATCH(0.01,End_Bal,-1)+1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'Power Cost summary'!$A$1:$AW$23</definedName>
    <definedName name="Print_Area_Reset" localSheetId="4">OFFSET(Full_Print,0,0,'2023'!Last_Row)</definedName>
    <definedName name="Print_Area_Reset" localSheetId="2">OFFSET(Full_Print,0,0,'2024 (NEW)'!Last_Row)</definedName>
    <definedName name="Print_Area_Reset">OFFSET(Full_Print,0,0,Last_Row)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" localSheetId="4">IF(Loan_Amount*Interest_Rate*Loan_Years*Loan_Start&gt;0,1,0)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4">Scheduled_Payment+Extra_Payment</definedName>
    <definedName name="Total_Payment" localSheetId="2">Scheduled_Payment+Extra_Payment</definedName>
    <definedName name="Total_Payment">Scheduled_Payment+Extra_Payment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Values_Entered" localSheetId="4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4" hidden="1">{#N/A,#N/A,FALSE,"Summ";#N/A,#N/A,FALSE,"General"}</definedName>
    <definedName name="xxx" hidden="1">{#N/A,#N/A,FALSE,"Summ";#N/A,#N/A,FALSE,"General"}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W84" i="83" l="1"/>
  <c r="W83" i="83"/>
  <c r="F57" i="173" l="1"/>
  <c r="F56" i="173"/>
  <c r="D57" i="173"/>
  <c r="D56" i="173"/>
  <c r="D54" i="173"/>
  <c r="D53" i="173"/>
  <c r="D52" i="173"/>
  <c r="D51" i="173"/>
  <c r="D50" i="173"/>
  <c r="D49" i="173"/>
  <c r="D48" i="173"/>
  <c r="D47" i="173"/>
  <c r="D46" i="173"/>
  <c r="D45" i="173"/>
  <c r="D44" i="173"/>
  <c r="C57" i="173"/>
  <c r="C56" i="173"/>
  <c r="C54" i="173"/>
  <c r="C53" i="173"/>
  <c r="C52" i="173"/>
  <c r="C51" i="173"/>
  <c r="C50" i="173"/>
  <c r="C49" i="173"/>
  <c r="C48" i="173"/>
  <c r="C47" i="173"/>
  <c r="C46" i="173"/>
  <c r="C45" i="173"/>
  <c r="C44" i="173"/>
  <c r="V81" i="83"/>
  <c r="S81" i="83"/>
  <c r="R81" i="83"/>
  <c r="O81" i="83"/>
  <c r="N81" i="83"/>
  <c r="M81" i="83"/>
  <c r="L81" i="83"/>
  <c r="K81" i="83"/>
  <c r="J81" i="83"/>
  <c r="I81" i="83"/>
  <c r="H81" i="83"/>
  <c r="G81" i="83"/>
  <c r="F81" i="83"/>
  <c r="W80" i="83"/>
  <c r="V80" i="83"/>
  <c r="T80" i="83"/>
  <c r="S80" i="83"/>
  <c r="R80" i="83"/>
  <c r="Q80" i="83"/>
  <c r="O80" i="83"/>
  <c r="N80" i="83"/>
  <c r="M80" i="83"/>
  <c r="L80" i="83"/>
  <c r="K80" i="83"/>
  <c r="J80" i="83"/>
  <c r="I80" i="83"/>
  <c r="H80" i="83"/>
  <c r="G80" i="83"/>
  <c r="F80" i="83"/>
  <c r="W79" i="83"/>
  <c r="V79" i="83"/>
  <c r="T79" i="83"/>
  <c r="S79" i="83"/>
  <c r="R79" i="83"/>
  <c r="Q79" i="83"/>
  <c r="O79" i="83"/>
  <c r="N79" i="83"/>
  <c r="M79" i="83"/>
  <c r="L79" i="83"/>
  <c r="K79" i="83"/>
  <c r="J79" i="83"/>
  <c r="I79" i="83"/>
  <c r="H79" i="83"/>
  <c r="G79" i="83"/>
  <c r="F79" i="83"/>
  <c r="W78" i="83"/>
  <c r="V78" i="83"/>
  <c r="T78" i="83"/>
  <c r="S78" i="83"/>
  <c r="R78" i="83"/>
  <c r="Q78" i="83"/>
  <c r="O78" i="83"/>
  <c r="N78" i="83"/>
  <c r="M78" i="83"/>
  <c r="L78" i="83"/>
  <c r="K78" i="83"/>
  <c r="J78" i="83"/>
  <c r="I78" i="83"/>
  <c r="H78" i="83"/>
  <c r="G78" i="83"/>
  <c r="F78" i="83"/>
  <c r="W77" i="83"/>
  <c r="V77" i="83"/>
  <c r="T77" i="83"/>
  <c r="S77" i="83"/>
  <c r="R77" i="83"/>
  <c r="Q77" i="83"/>
  <c r="O77" i="83"/>
  <c r="N77" i="83"/>
  <c r="M77" i="83"/>
  <c r="L77" i="83"/>
  <c r="K77" i="83"/>
  <c r="J77" i="83"/>
  <c r="I77" i="83"/>
  <c r="H77" i="83"/>
  <c r="G77" i="83"/>
  <c r="F77" i="83"/>
  <c r="W76" i="83"/>
  <c r="V76" i="83"/>
  <c r="T76" i="83"/>
  <c r="S76" i="83"/>
  <c r="R76" i="83"/>
  <c r="Q76" i="83"/>
  <c r="O76" i="83"/>
  <c r="N76" i="83"/>
  <c r="M76" i="83"/>
  <c r="L76" i="83"/>
  <c r="K76" i="83"/>
  <c r="J76" i="83"/>
  <c r="I76" i="83"/>
  <c r="H76" i="83"/>
  <c r="G76" i="83"/>
  <c r="F76" i="83"/>
  <c r="V75" i="83"/>
  <c r="S75" i="83"/>
  <c r="R75" i="83"/>
  <c r="Q75" i="83"/>
  <c r="O75" i="83"/>
  <c r="N75" i="83"/>
  <c r="M75" i="83"/>
  <c r="L75" i="83"/>
  <c r="K75" i="83"/>
  <c r="J75" i="83"/>
  <c r="I75" i="83"/>
  <c r="H75" i="83"/>
  <c r="G75" i="83"/>
  <c r="F75" i="83"/>
  <c r="V74" i="83"/>
  <c r="S74" i="83"/>
  <c r="R74" i="83"/>
  <c r="O74" i="83"/>
  <c r="N74" i="83"/>
  <c r="M74" i="83"/>
  <c r="L74" i="83"/>
  <c r="K74" i="83"/>
  <c r="J74" i="83"/>
  <c r="I74" i="83"/>
  <c r="H74" i="83"/>
  <c r="G74" i="83"/>
  <c r="F74" i="83"/>
  <c r="V73" i="83"/>
  <c r="S73" i="83"/>
  <c r="R73" i="83"/>
  <c r="O73" i="83"/>
  <c r="N73" i="83"/>
  <c r="M73" i="83"/>
  <c r="L73" i="83"/>
  <c r="K73" i="83"/>
  <c r="J73" i="83"/>
  <c r="I73" i="83"/>
  <c r="H73" i="83"/>
  <c r="G73" i="83"/>
  <c r="F73" i="83"/>
  <c r="V72" i="83"/>
  <c r="S72" i="83"/>
  <c r="R72" i="83"/>
  <c r="O72" i="83"/>
  <c r="N72" i="83"/>
  <c r="M72" i="83"/>
  <c r="L72" i="83"/>
  <c r="K72" i="83"/>
  <c r="J72" i="83"/>
  <c r="I72" i="83"/>
  <c r="H72" i="83"/>
  <c r="G72" i="83"/>
  <c r="F72" i="83"/>
  <c r="V71" i="83"/>
  <c r="S71" i="83"/>
  <c r="R71" i="83"/>
  <c r="O71" i="83"/>
  <c r="N71" i="83"/>
  <c r="M71" i="83"/>
  <c r="L71" i="83"/>
  <c r="K71" i="83"/>
  <c r="J71" i="83"/>
  <c r="I71" i="83"/>
  <c r="H71" i="83"/>
  <c r="G71" i="83"/>
  <c r="F71" i="83"/>
  <c r="W70" i="83"/>
  <c r="V70" i="83"/>
  <c r="T70" i="83"/>
  <c r="S70" i="83"/>
  <c r="R70" i="83"/>
  <c r="Q70" i="83"/>
  <c r="O70" i="83"/>
  <c r="N70" i="83"/>
  <c r="M70" i="83"/>
  <c r="L70" i="83"/>
  <c r="K70" i="83"/>
  <c r="J70" i="83"/>
  <c r="I70" i="83"/>
  <c r="H70" i="83"/>
  <c r="G70" i="83"/>
  <c r="F70" i="83"/>
  <c r="V69" i="83"/>
  <c r="S69" i="83"/>
  <c r="R69" i="83"/>
  <c r="O69" i="83"/>
  <c r="N69" i="83"/>
  <c r="M69" i="83"/>
  <c r="L69" i="83"/>
  <c r="K69" i="83"/>
  <c r="J69" i="83"/>
  <c r="I69" i="83"/>
  <c r="H69" i="83"/>
  <c r="G69" i="83"/>
  <c r="F69" i="83"/>
  <c r="V68" i="83"/>
  <c r="S68" i="83"/>
  <c r="R68" i="83"/>
  <c r="O68" i="83"/>
  <c r="N68" i="83"/>
  <c r="M68" i="83"/>
  <c r="K68" i="83"/>
  <c r="J68" i="83"/>
  <c r="I68" i="83"/>
  <c r="H68" i="83"/>
  <c r="G68" i="83"/>
  <c r="F68" i="83"/>
  <c r="V67" i="83"/>
  <c r="S67" i="83"/>
  <c r="R67" i="83"/>
  <c r="O67" i="83"/>
  <c r="N67" i="83"/>
  <c r="M67" i="83"/>
  <c r="L67" i="83"/>
  <c r="K67" i="83"/>
  <c r="J67" i="83"/>
  <c r="I67" i="83"/>
  <c r="H67" i="83"/>
  <c r="G67" i="83"/>
  <c r="F67" i="83"/>
  <c r="V66" i="83"/>
  <c r="S66" i="83"/>
  <c r="R66" i="83"/>
  <c r="O66" i="83"/>
  <c r="N66" i="83"/>
  <c r="M66" i="83"/>
  <c r="L66" i="83"/>
  <c r="K66" i="83"/>
  <c r="J66" i="83"/>
  <c r="I66" i="83"/>
  <c r="H66" i="83"/>
  <c r="G66" i="83"/>
  <c r="F66" i="83"/>
  <c r="V65" i="83"/>
  <c r="S65" i="83"/>
  <c r="R65" i="83"/>
  <c r="O65" i="83"/>
  <c r="N65" i="83"/>
  <c r="M65" i="83"/>
  <c r="L65" i="83"/>
  <c r="K65" i="83"/>
  <c r="J65" i="83"/>
  <c r="I65" i="83"/>
  <c r="H65" i="83"/>
  <c r="G65" i="83"/>
  <c r="F65" i="83"/>
  <c r="E81" i="83"/>
  <c r="E80" i="83"/>
  <c r="E79" i="83"/>
  <c r="E78" i="83"/>
  <c r="E77" i="83"/>
  <c r="E76" i="83"/>
  <c r="E75" i="83"/>
  <c r="E74" i="83"/>
  <c r="E73" i="83"/>
  <c r="E72" i="83"/>
  <c r="E71" i="83"/>
  <c r="E70" i="83"/>
  <c r="E69" i="83"/>
  <c r="E68" i="83"/>
  <c r="E67" i="83"/>
  <c r="E66" i="83"/>
  <c r="E65" i="83"/>
  <c r="L88" i="126"/>
  <c r="K88" i="126"/>
  <c r="J88" i="126"/>
  <c r="I88" i="126"/>
  <c r="H88" i="126"/>
  <c r="G88" i="126"/>
  <c r="F88" i="126"/>
  <c r="E88" i="126"/>
  <c r="L87" i="126"/>
  <c r="K87" i="126"/>
  <c r="J87" i="126"/>
  <c r="I87" i="126"/>
  <c r="H87" i="126"/>
  <c r="G87" i="126"/>
  <c r="F87" i="126"/>
  <c r="E87" i="126"/>
  <c r="N86" i="126"/>
  <c r="M86" i="126"/>
  <c r="L86" i="126"/>
  <c r="K86" i="126"/>
  <c r="J86" i="126"/>
  <c r="I86" i="126"/>
  <c r="H86" i="126"/>
  <c r="G86" i="126"/>
  <c r="F86" i="126"/>
  <c r="E86" i="126"/>
  <c r="L85" i="126"/>
  <c r="K85" i="126"/>
  <c r="J85" i="126"/>
  <c r="I85" i="126"/>
  <c r="H85" i="126"/>
  <c r="G85" i="126"/>
  <c r="F85" i="126"/>
  <c r="E85" i="126"/>
  <c r="N84" i="126"/>
  <c r="M84" i="126"/>
  <c r="L84" i="126"/>
  <c r="K84" i="126"/>
  <c r="J84" i="126"/>
  <c r="I84" i="126"/>
  <c r="H84" i="126"/>
  <c r="G84" i="126"/>
  <c r="F84" i="126"/>
  <c r="E84" i="126"/>
  <c r="N83" i="126"/>
  <c r="M83" i="126"/>
  <c r="L83" i="126"/>
  <c r="K83" i="126"/>
  <c r="J83" i="126"/>
  <c r="I83" i="126"/>
  <c r="H83" i="126"/>
  <c r="G83" i="126"/>
  <c r="F83" i="126"/>
  <c r="E83" i="126"/>
  <c r="L82" i="126"/>
  <c r="K82" i="126"/>
  <c r="J82" i="126"/>
  <c r="I82" i="126"/>
  <c r="H82" i="126"/>
  <c r="G82" i="126"/>
  <c r="F82" i="126"/>
  <c r="E82" i="126"/>
  <c r="N81" i="126"/>
  <c r="M81" i="126"/>
  <c r="L81" i="126"/>
  <c r="K81" i="126"/>
  <c r="J81" i="126"/>
  <c r="I81" i="126"/>
  <c r="H81" i="126"/>
  <c r="G81" i="126"/>
  <c r="F81" i="126"/>
  <c r="E81" i="126"/>
  <c r="N80" i="126"/>
  <c r="M80" i="126"/>
  <c r="L80" i="126"/>
  <c r="K80" i="126"/>
  <c r="J80" i="126"/>
  <c r="I80" i="126"/>
  <c r="H80" i="126"/>
  <c r="G80" i="126"/>
  <c r="F80" i="126"/>
  <c r="E80" i="126"/>
  <c r="N79" i="126"/>
  <c r="M79" i="126"/>
  <c r="L79" i="126"/>
  <c r="K79" i="126"/>
  <c r="J79" i="126"/>
  <c r="I79" i="126"/>
  <c r="H79" i="126"/>
  <c r="G79" i="126"/>
  <c r="F79" i="126"/>
  <c r="E79" i="126"/>
  <c r="N78" i="126"/>
  <c r="M78" i="126"/>
  <c r="L78" i="126"/>
  <c r="K78" i="126"/>
  <c r="J78" i="126"/>
  <c r="I78" i="126"/>
  <c r="H78" i="126"/>
  <c r="G78" i="126"/>
  <c r="F78" i="126"/>
  <c r="E78" i="126"/>
  <c r="N77" i="126"/>
  <c r="M77" i="126"/>
  <c r="L77" i="126"/>
  <c r="K77" i="126"/>
  <c r="J77" i="126"/>
  <c r="I77" i="126"/>
  <c r="H77" i="126"/>
  <c r="G77" i="126"/>
  <c r="F77" i="126"/>
  <c r="E77" i="126"/>
  <c r="N76" i="126"/>
  <c r="M76" i="126"/>
  <c r="L76" i="126"/>
  <c r="K76" i="126"/>
  <c r="J76" i="126"/>
  <c r="I76" i="126"/>
  <c r="H76" i="126"/>
  <c r="G76" i="126"/>
  <c r="F76" i="126"/>
  <c r="E76" i="126"/>
  <c r="L75" i="126"/>
  <c r="K75" i="126"/>
  <c r="J75" i="126"/>
  <c r="I75" i="126"/>
  <c r="H75" i="126"/>
  <c r="G75" i="126"/>
  <c r="F75" i="126"/>
  <c r="E75" i="126"/>
  <c r="L74" i="126"/>
  <c r="K74" i="126"/>
  <c r="J74" i="126"/>
  <c r="I74" i="126"/>
  <c r="H74" i="126"/>
  <c r="G74" i="126"/>
  <c r="F74" i="126"/>
  <c r="E74" i="126"/>
  <c r="L73" i="126"/>
  <c r="K73" i="126"/>
  <c r="J73" i="126"/>
  <c r="I73" i="126"/>
  <c r="H73" i="126"/>
  <c r="G73" i="126"/>
  <c r="F73" i="126"/>
  <c r="E73" i="126"/>
  <c r="L72" i="126"/>
  <c r="K72" i="126"/>
  <c r="J72" i="126"/>
  <c r="I72" i="126"/>
  <c r="H72" i="126"/>
  <c r="G72" i="126"/>
  <c r="F72" i="126"/>
  <c r="E72" i="126"/>
  <c r="N71" i="126"/>
  <c r="M71" i="126"/>
  <c r="L71" i="126"/>
  <c r="K71" i="126"/>
  <c r="J71" i="126"/>
  <c r="I71" i="126"/>
  <c r="H71" i="126"/>
  <c r="G71" i="126"/>
  <c r="F71" i="126"/>
  <c r="E71" i="126"/>
  <c r="L70" i="126"/>
  <c r="K70" i="126"/>
  <c r="J70" i="126"/>
  <c r="I70" i="126"/>
  <c r="H70" i="126"/>
  <c r="G70" i="126"/>
  <c r="F70" i="126"/>
  <c r="E70" i="126"/>
  <c r="L69" i="126"/>
  <c r="K69" i="126"/>
  <c r="J69" i="126"/>
  <c r="I69" i="126"/>
  <c r="H69" i="126"/>
  <c r="G69" i="126"/>
  <c r="F69" i="126"/>
  <c r="E69" i="126"/>
  <c r="L68" i="126"/>
  <c r="K68" i="126"/>
  <c r="J68" i="126"/>
  <c r="I68" i="126"/>
  <c r="H68" i="126"/>
  <c r="G68" i="126"/>
  <c r="F68" i="126"/>
  <c r="E68" i="126"/>
  <c r="L67" i="126"/>
  <c r="K67" i="126"/>
  <c r="J67" i="126"/>
  <c r="I67" i="126"/>
  <c r="H67" i="126"/>
  <c r="G67" i="126"/>
  <c r="F67" i="126"/>
  <c r="E67" i="126"/>
  <c r="L66" i="126"/>
  <c r="K66" i="126"/>
  <c r="J66" i="126"/>
  <c r="I66" i="126"/>
  <c r="H66" i="126"/>
  <c r="G66" i="126"/>
  <c r="F66" i="126"/>
  <c r="E66" i="126"/>
  <c r="D88" i="126"/>
  <c r="D87" i="126"/>
  <c r="D86" i="126"/>
  <c r="D85" i="126"/>
  <c r="D84" i="126"/>
  <c r="D83" i="126"/>
  <c r="D82" i="126"/>
  <c r="D81" i="126"/>
  <c r="D80" i="126"/>
  <c r="D79" i="126"/>
  <c r="D78" i="126"/>
  <c r="D77" i="126"/>
  <c r="D76" i="126"/>
  <c r="D75" i="126"/>
  <c r="D74" i="126"/>
  <c r="D73" i="126"/>
  <c r="D72" i="126"/>
  <c r="D71" i="126"/>
  <c r="D70" i="126"/>
  <c r="D69" i="126"/>
  <c r="D68" i="126"/>
  <c r="D67" i="126"/>
  <c r="D66" i="126"/>
  <c r="F9" i="173" l="1"/>
  <c r="F46" i="173" s="1"/>
  <c r="F10" i="173"/>
  <c r="F47" i="173" s="1"/>
  <c r="F11" i="173"/>
  <c r="F48" i="173" s="1"/>
  <c r="F12" i="173"/>
  <c r="F49" i="173" s="1"/>
  <c r="F13" i="173"/>
  <c r="F50" i="173" s="1"/>
  <c r="F14" i="173"/>
  <c r="F51" i="173" s="1"/>
  <c r="F16" i="173"/>
  <c r="F53" i="173" s="1"/>
  <c r="F17" i="173"/>
  <c r="F54" i="173" s="1"/>
  <c r="D18" i="173"/>
  <c r="D55" i="173" s="1"/>
  <c r="D21" i="173" l="1"/>
  <c r="D58" i="173" s="1"/>
  <c r="F8" i="173"/>
  <c r="F45" i="173" s="1"/>
  <c r="F20" i="173"/>
  <c r="F15" i="173"/>
  <c r="F52" i="173" s="1"/>
  <c r="C18" i="173"/>
  <c r="C55" i="173" s="1"/>
  <c r="F7" i="173"/>
  <c r="F44" i="173" s="1"/>
  <c r="D7" i="174"/>
  <c r="D41" i="174" s="1"/>
  <c r="D8" i="174"/>
  <c r="D9" i="174"/>
  <c r="D10" i="174"/>
  <c r="D11" i="174"/>
  <c r="D45" i="174" s="1"/>
  <c r="I12" i="174"/>
  <c r="J12" i="174"/>
  <c r="K12" i="174"/>
  <c r="M12" i="174"/>
  <c r="D13" i="174"/>
  <c r="D47" i="174" s="1"/>
  <c r="J13" i="174"/>
  <c r="D14" i="174"/>
  <c r="D48" i="174" s="1"/>
  <c r="J14" i="174"/>
  <c r="J15" i="174" s="1"/>
  <c r="D15" i="174"/>
  <c r="D49" i="174" s="1"/>
  <c r="C17" i="174"/>
  <c r="C51" i="174" s="1"/>
  <c r="E17" i="174"/>
  <c r="F17" i="174"/>
  <c r="C19" i="174"/>
  <c r="D19" i="174"/>
  <c r="D53" i="174" s="1"/>
  <c r="C41" i="174"/>
  <c r="E41" i="174"/>
  <c r="F41" i="174"/>
  <c r="C42" i="174"/>
  <c r="D42" i="174"/>
  <c r="E42" i="174"/>
  <c r="F42" i="174"/>
  <c r="C43" i="174"/>
  <c r="D43" i="174"/>
  <c r="E43" i="174"/>
  <c r="F43" i="174"/>
  <c r="C44" i="174"/>
  <c r="D44" i="174"/>
  <c r="E44" i="174"/>
  <c r="F44" i="174"/>
  <c r="C45" i="174"/>
  <c r="E45" i="174"/>
  <c r="F45" i="174"/>
  <c r="C46" i="174"/>
  <c r="E46" i="174"/>
  <c r="F46" i="174"/>
  <c r="C47" i="174"/>
  <c r="E47" i="174"/>
  <c r="F47" i="174"/>
  <c r="C48" i="174"/>
  <c r="E48" i="174"/>
  <c r="F48" i="174"/>
  <c r="C49" i="174"/>
  <c r="E49" i="174"/>
  <c r="F49" i="174"/>
  <c r="C50" i="174"/>
  <c r="D50" i="174"/>
  <c r="E50" i="174"/>
  <c r="F50" i="174"/>
  <c r="E51" i="174"/>
  <c r="F51" i="174"/>
  <c r="C53" i="174"/>
  <c r="E53" i="174"/>
  <c r="F53" i="174"/>
  <c r="C21" i="173" l="1"/>
  <c r="F18" i="173"/>
  <c r="F55" i="173" s="1"/>
  <c r="J27" i="174"/>
  <c r="J29" i="174" s="1"/>
  <c r="D12" i="174"/>
  <c r="J17" i="126"/>
  <c r="L17" i="126"/>
  <c r="K17" i="126" s="1"/>
  <c r="H17" i="126"/>
  <c r="F17" i="126"/>
  <c r="F18" i="126"/>
  <c r="D17" i="126"/>
  <c r="Q23" i="83"/>
  <c r="Q73" i="83" s="1"/>
  <c r="Q22" i="83"/>
  <c r="Q72" i="83" s="1"/>
  <c r="Q21" i="83"/>
  <c r="Q71" i="83" s="1"/>
  <c r="Q18" i="83"/>
  <c r="Q17" i="83"/>
  <c r="Q67" i="83" s="1"/>
  <c r="Q16" i="83"/>
  <c r="Q66" i="83" s="1"/>
  <c r="Q15" i="83"/>
  <c r="Q65" i="83" s="1"/>
  <c r="O18" i="83"/>
  <c r="J18" i="83"/>
  <c r="H18" i="83"/>
  <c r="A19" i="83"/>
  <c r="A20" i="83"/>
  <c r="A21" i="83"/>
  <c r="A22" i="83"/>
  <c r="A23" i="83"/>
  <c r="A24" i="83"/>
  <c r="A25" i="83" s="1"/>
  <c r="A26" i="83" s="1"/>
  <c r="A27" i="83" s="1"/>
  <c r="A28" i="83" s="1"/>
  <c r="A29" i="83" s="1"/>
  <c r="A30" i="83" s="1"/>
  <c r="A31" i="83" s="1"/>
  <c r="A18" i="83"/>
  <c r="T18" i="83" l="1"/>
  <c r="T68" i="83" s="1"/>
  <c r="Q68" i="83"/>
  <c r="F21" i="173"/>
  <c r="F58" i="173" s="1"/>
  <c r="C58" i="173"/>
  <c r="D17" i="174"/>
  <c r="D51" i="174" s="1"/>
  <c r="D46" i="174"/>
  <c r="W18" i="83"/>
  <c r="W68" i="83" s="1"/>
  <c r="N17" i="126"/>
  <c r="M17" i="126" l="1"/>
  <c r="M69" i="126" s="1"/>
  <c r="N69" i="126"/>
  <c r="W26" i="83"/>
  <c r="H19" i="171" l="1"/>
  <c r="F17" i="171"/>
  <c r="E17" i="171"/>
  <c r="D17" i="171"/>
  <c r="C17" i="171"/>
  <c r="H16" i="171"/>
  <c r="H15" i="171"/>
  <c r="H14" i="171"/>
  <c r="H13" i="171"/>
  <c r="H17" i="171" s="1"/>
  <c r="H12" i="171"/>
  <c r="H11" i="171"/>
  <c r="H10" i="171"/>
  <c r="H9" i="171"/>
  <c r="H8" i="171"/>
  <c r="H7" i="171"/>
  <c r="D17" i="170" l="1"/>
  <c r="E17" i="170"/>
  <c r="F17" i="170"/>
  <c r="C25" i="170"/>
  <c r="C8" i="170" s="1"/>
  <c r="C17" i="170" s="1"/>
  <c r="F39" i="165" l="1"/>
  <c r="F41" i="165" s="1"/>
  <c r="E39" i="165"/>
  <c r="E41" i="165" s="1"/>
  <c r="D39" i="165"/>
  <c r="D41" i="165" s="1"/>
  <c r="C39" i="165"/>
  <c r="C41" i="165" s="1"/>
  <c r="F37" i="165"/>
  <c r="G36" i="165"/>
  <c r="F36" i="165"/>
  <c r="E36" i="165"/>
  <c r="D36" i="165"/>
  <c r="C36" i="165"/>
  <c r="G35" i="165"/>
  <c r="G39" i="165" s="1"/>
  <c r="G41" i="165" s="1"/>
  <c r="F35" i="165"/>
  <c r="E35" i="165"/>
  <c r="D35" i="165"/>
  <c r="C35" i="165"/>
  <c r="G34" i="165"/>
  <c r="F34" i="165"/>
  <c r="E34" i="165"/>
  <c r="D34" i="165"/>
  <c r="C34" i="165"/>
  <c r="G33" i="165"/>
  <c r="F33" i="165"/>
  <c r="E33" i="165"/>
  <c r="E37" i="165" s="1"/>
  <c r="D33" i="165"/>
  <c r="C33" i="165"/>
  <c r="G32" i="165"/>
  <c r="G37" i="165" s="1"/>
  <c r="F32" i="165"/>
  <c r="E32" i="165"/>
  <c r="D32" i="165"/>
  <c r="D37" i="165" s="1"/>
  <c r="C32" i="165"/>
  <c r="C37" i="165" s="1"/>
  <c r="C34" i="49" l="1"/>
  <c r="D34" i="49"/>
  <c r="F34" i="49"/>
  <c r="G34" i="49"/>
  <c r="E34" i="49"/>
  <c r="D27" i="49"/>
  <c r="E27" i="49" s="1"/>
  <c r="F27" i="49" s="1"/>
  <c r="G27" i="49" s="1"/>
  <c r="C27" i="49"/>
  <c r="C26" i="49"/>
  <c r="D26" i="49" s="1"/>
  <c r="E26" i="49" s="1"/>
  <c r="F26" i="49" s="1"/>
  <c r="G26" i="49" s="1"/>
  <c r="F31" i="49"/>
  <c r="G31" i="49"/>
  <c r="F32" i="49"/>
  <c r="G32" i="49"/>
  <c r="D32" i="49"/>
  <c r="E32" i="49"/>
  <c r="C32" i="49"/>
  <c r="E31" i="49"/>
  <c r="D31" i="49"/>
  <c r="C31" i="49"/>
  <c r="F38" i="49"/>
  <c r="E38" i="49"/>
  <c r="F37" i="49"/>
  <c r="E37" i="49"/>
  <c r="C71" i="169" l="1"/>
  <c r="D71" i="169" s="1"/>
  <c r="B74" i="169"/>
  <c r="B75" i="169"/>
  <c r="D44" i="165"/>
  <c r="O6" i="165"/>
  <c r="B16" i="84" l="1"/>
  <c r="B15" i="84"/>
  <c r="B14" i="84"/>
  <c r="B71" i="169"/>
  <c r="A74" i="169"/>
  <c r="B77" i="169"/>
  <c r="B11" i="84" s="1"/>
  <c r="A75" i="169"/>
  <c r="A76" i="169"/>
  <c r="B76" i="169"/>
  <c r="C12" i="84" l="1"/>
  <c r="D12" i="84"/>
  <c r="D11" i="84"/>
  <c r="C11" i="84"/>
  <c r="D14" i="84" l="1"/>
  <c r="D16" i="84"/>
  <c r="D15" i="84"/>
  <c r="C15" i="84"/>
  <c r="C16" i="84"/>
  <c r="C14" i="84"/>
  <c r="K31" i="83"/>
  <c r="C18" i="84" l="1"/>
  <c r="N19" i="83"/>
  <c r="C20" i="84"/>
  <c r="C19" i="84"/>
  <c r="S19" i="83"/>
  <c r="D19" i="84"/>
  <c r="R19" i="83"/>
  <c r="D20" i="84"/>
  <c r="D18" i="84"/>
  <c r="M19" i="83"/>
  <c r="E14" i="84" s="1"/>
  <c r="E15" i="84" l="1"/>
  <c r="R835" i="166"/>
  <c r="R834" i="166"/>
  <c r="R836" i="166" s="1"/>
  <c r="P835" i="166"/>
  <c r="O835" i="166"/>
  <c r="N835" i="166"/>
  <c r="S27" i="83" s="1"/>
  <c r="M835" i="166"/>
  <c r="N27" i="83" s="1"/>
  <c r="L835" i="166"/>
  <c r="P834" i="166"/>
  <c r="P836" i="166" s="1"/>
  <c r="P837" i="166" s="1"/>
  <c r="O834" i="166"/>
  <c r="N834" i="166"/>
  <c r="M834" i="166"/>
  <c r="L834" i="166"/>
  <c r="L836" i="166" s="1"/>
  <c r="L837" i="166" s="1"/>
  <c r="N836" i="166" l="1"/>
  <c r="R27" i="83"/>
  <c r="O836" i="166"/>
  <c r="M836" i="166"/>
  <c r="M27" i="83"/>
  <c r="M837" i="166" l="1"/>
  <c r="M838" i="166"/>
  <c r="O837" i="166"/>
  <c r="O838" i="166"/>
  <c r="N837" i="166"/>
  <c r="N838" i="166"/>
  <c r="Q27" i="83" l="1"/>
  <c r="H30" i="83"/>
  <c r="H26" i="83"/>
  <c r="L27" i="83" l="1"/>
  <c r="F7" i="164"/>
  <c r="F8" i="164"/>
  <c r="F15" i="164" s="1"/>
  <c r="F9" i="164"/>
  <c r="F10" i="164"/>
  <c r="F11" i="164"/>
  <c r="F12" i="164"/>
  <c r="F13" i="164"/>
  <c r="F14" i="164"/>
  <c r="G15" i="164"/>
  <c r="H15" i="164"/>
  <c r="I15" i="164"/>
  <c r="J15" i="164"/>
  <c r="K15" i="164"/>
  <c r="L15" i="164"/>
  <c r="M15" i="164"/>
  <c r="N15" i="164"/>
  <c r="O15" i="164"/>
  <c r="P15" i="164"/>
  <c r="Q15" i="164"/>
  <c r="R15" i="164"/>
  <c r="F18" i="164"/>
  <c r="F19" i="164"/>
  <c r="F20" i="164"/>
  <c r="F21" i="164"/>
  <c r="F22" i="164"/>
  <c r="F23" i="164"/>
  <c r="F24" i="164"/>
  <c r="F25" i="164"/>
  <c r="G26" i="164"/>
  <c r="H26" i="164"/>
  <c r="I26" i="164"/>
  <c r="J26" i="164"/>
  <c r="K26" i="164"/>
  <c r="L26" i="164"/>
  <c r="M26" i="164"/>
  <c r="N26" i="164"/>
  <c r="O26" i="164"/>
  <c r="P26" i="164"/>
  <c r="Q26" i="164"/>
  <c r="R26" i="164"/>
  <c r="G29" i="164"/>
  <c r="H29" i="164"/>
  <c r="I29" i="164"/>
  <c r="J29" i="164"/>
  <c r="K29" i="164"/>
  <c r="L29" i="164"/>
  <c r="M29" i="164"/>
  <c r="N29" i="164"/>
  <c r="L8" i="163" s="1"/>
  <c r="O29" i="164"/>
  <c r="P29" i="164"/>
  <c r="Q29" i="164"/>
  <c r="R29" i="164"/>
  <c r="G30" i="164"/>
  <c r="H30" i="164"/>
  <c r="I30" i="164"/>
  <c r="J30" i="164"/>
  <c r="K30" i="164"/>
  <c r="L30" i="164"/>
  <c r="M30" i="164"/>
  <c r="N30" i="164"/>
  <c r="L9" i="163" s="1"/>
  <c r="O30" i="164"/>
  <c r="P30" i="164"/>
  <c r="Q30" i="164"/>
  <c r="R30" i="164"/>
  <c r="G31" i="164"/>
  <c r="H31" i="164"/>
  <c r="I31" i="164"/>
  <c r="J31" i="164"/>
  <c r="K31" i="164"/>
  <c r="L31" i="164"/>
  <c r="L37" i="164" s="1"/>
  <c r="M31" i="164"/>
  <c r="N31" i="164"/>
  <c r="O31" i="164"/>
  <c r="P31" i="164"/>
  <c r="Q31" i="164"/>
  <c r="R31" i="164"/>
  <c r="G32" i="164"/>
  <c r="H32" i="164"/>
  <c r="H37" i="164" s="1"/>
  <c r="I32" i="164"/>
  <c r="J32" i="164"/>
  <c r="K32" i="164"/>
  <c r="L32" i="164"/>
  <c r="M32" i="164"/>
  <c r="N32" i="164"/>
  <c r="L11" i="163" s="1"/>
  <c r="O32" i="164"/>
  <c r="M11" i="163" s="1"/>
  <c r="P32" i="164"/>
  <c r="P37" i="164" s="1"/>
  <c r="Q32" i="164"/>
  <c r="R32" i="164"/>
  <c r="G33" i="164"/>
  <c r="F33" i="164" s="1"/>
  <c r="H33" i="164"/>
  <c r="I33" i="164"/>
  <c r="J33" i="164"/>
  <c r="K33" i="164"/>
  <c r="L33" i="164"/>
  <c r="M33" i="164"/>
  <c r="N33" i="164"/>
  <c r="O33" i="164"/>
  <c r="P33" i="164"/>
  <c r="Q33" i="164"/>
  <c r="R33" i="164"/>
  <c r="P12" i="163" s="1"/>
  <c r="G34" i="164"/>
  <c r="H34" i="164"/>
  <c r="I34" i="164"/>
  <c r="J34" i="164"/>
  <c r="K34" i="164"/>
  <c r="L34" i="164"/>
  <c r="M34" i="164"/>
  <c r="K13" i="163" s="1"/>
  <c r="N34" i="164"/>
  <c r="L13" i="163" s="1"/>
  <c r="O34" i="164"/>
  <c r="P34" i="164"/>
  <c r="Q34" i="164"/>
  <c r="R34" i="164"/>
  <c r="P13" i="163" s="1"/>
  <c r="G35" i="164"/>
  <c r="H35" i="164"/>
  <c r="I35" i="164"/>
  <c r="J35" i="164"/>
  <c r="K35" i="164"/>
  <c r="L35" i="164"/>
  <c r="M35" i="164"/>
  <c r="N35" i="164"/>
  <c r="O35" i="164"/>
  <c r="P35" i="164"/>
  <c r="Q35" i="164"/>
  <c r="O14" i="163" s="1"/>
  <c r="R35" i="164"/>
  <c r="G36" i="164"/>
  <c r="H36" i="164"/>
  <c r="F36" i="164" s="1"/>
  <c r="I36" i="164"/>
  <c r="J36" i="164"/>
  <c r="K36" i="164"/>
  <c r="L36" i="164"/>
  <c r="M36" i="164"/>
  <c r="N36" i="164"/>
  <c r="O36" i="164"/>
  <c r="P36" i="164"/>
  <c r="Q36" i="164"/>
  <c r="R36" i="164"/>
  <c r="P15" i="163" s="1"/>
  <c r="N37" i="164"/>
  <c r="G94" i="164"/>
  <c r="G95" i="164" s="1"/>
  <c r="E5" i="163"/>
  <c r="G5" i="164" s="1"/>
  <c r="F5" i="163"/>
  <c r="H5" i="164" s="1"/>
  <c r="G5" i="163"/>
  <c r="I5" i="164" s="1"/>
  <c r="H5" i="163"/>
  <c r="J5" i="164" s="1"/>
  <c r="I5" i="163"/>
  <c r="K5" i="164" s="1"/>
  <c r="J5" i="163"/>
  <c r="L5" i="164" s="1"/>
  <c r="K5" i="163"/>
  <c r="M5" i="164" s="1"/>
  <c r="L5" i="163"/>
  <c r="N5" i="164" s="1"/>
  <c r="M5" i="163"/>
  <c r="O5" i="164" s="1"/>
  <c r="N5" i="163"/>
  <c r="P5" i="164" s="1"/>
  <c r="O5" i="163"/>
  <c r="Q5" i="164" s="1"/>
  <c r="P5" i="163"/>
  <c r="R5" i="164" s="1"/>
  <c r="A7" i="163"/>
  <c r="A8" i="163"/>
  <c r="K8" i="163"/>
  <c r="N8" i="163"/>
  <c r="O8" i="163"/>
  <c r="P8" i="163"/>
  <c r="A9" i="163"/>
  <c r="K9" i="163"/>
  <c r="M9" i="163"/>
  <c r="N9" i="163"/>
  <c r="A10" i="163"/>
  <c r="L10" i="163"/>
  <c r="M10" i="163"/>
  <c r="N10" i="163"/>
  <c r="O10" i="163"/>
  <c r="P10" i="163"/>
  <c r="A11" i="163"/>
  <c r="K11" i="163"/>
  <c r="N11" i="163"/>
  <c r="O11" i="163"/>
  <c r="P11" i="163"/>
  <c r="A12" i="163"/>
  <c r="K12" i="163"/>
  <c r="L12" i="163"/>
  <c r="M12" i="163"/>
  <c r="N12" i="163"/>
  <c r="O12" i="163"/>
  <c r="A13" i="163"/>
  <c r="M13" i="163"/>
  <c r="N13" i="163"/>
  <c r="O13" i="163"/>
  <c r="A14" i="163"/>
  <c r="K14" i="163"/>
  <c r="L14" i="163"/>
  <c r="M14" i="163"/>
  <c r="N14" i="163"/>
  <c r="P14" i="163"/>
  <c r="A15" i="163"/>
  <c r="K15" i="163"/>
  <c r="L15" i="163"/>
  <c r="M15" i="163"/>
  <c r="N15" i="163"/>
  <c r="O15" i="163"/>
  <c r="A16" i="163"/>
  <c r="E16" i="163"/>
  <c r="F16" i="163"/>
  <c r="G16" i="163"/>
  <c r="G21" i="163" s="1"/>
  <c r="G36" i="163" s="1"/>
  <c r="G37" i="163" s="1"/>
  <c r="G41" i="163" s="1"/>
  <c r="H16" i="163"/>
  <c r="H21" i="163" s="1"/>
  <c r="I16" i="163"/>
  <c r="I21" i="163" s="1"/>
  <c r="J16" i="163"/>
  <c r="A17" i="163"/>
  <c r="A18" i="163"/>
  <c r="A19" i="163"/>
  <c r="Q19" i="163"/>
  <c r="Q20" i="163"/>
  <c r="A21" i="163"/>
  <c r="E21" i="163"/>
  <c r="E36" i="163" s="1"/>
  <c r="E37" i="163" s="1"/>
  <c r="F21" i="163"/>
  <c r="J21" i="163"/>
  <c r="A22" i="163"/>
  <c r="A23" i="163"/>
  <c r="A24" i="163"/>
  <c r="Q24" i="163"/>
  <c r="A25" i="163"/>
  <c r="Q25" i="163"/>
  <c r="A28" i="163"/>
  <c r="A29" i="163"/>
  <c r="E29" i="163"/>
  <c r="F29" i="163"/>
  <c r="G29" i="163"/>
  <c r="H29" i="163"/>
  <c r="H33" i="163" s="1"/>
  <c r="I29" i="163"/>
  <c r="I33" i="163" s="1"/>
  <c r="J29" i="163"/>
  <c r="K29" i="163"/>
  <c r="L29" i="163"/>
  <c r="M29" i="163"/>
  <c r="N29" i="163"/>
  <c r="E30" i="163"/>
  <c r="E33" i="163" s="1"/>
  <c r="F30" i="163"/>
  <c r="F33" i="163" s="1"/>
  <c r="G30" i="163"/>
  <c r="H30" i="163"/>
  <c r="I30" i="163"/>
  <c r="J30" i="163"/>
  <c r="J33" i="163" s="1"/>
  <c r="N30" i="163"/>
  <c r="O30" i="163"/>
  <c r="P30" i="163"/>
  <c r="P33" i="163" s="1"/>
  <c r="Q30" i="163"/>
  <c r="I31" i="163"/>
  <c r="I32" i="163"/>
  <c r="J32" i="163"/>
  <c r="G33" i="163"/>
  <c r="K33" i="163"/>
  <c r="L33" i="163"/>
  <c r="M33" i="163"/>
  <c r="N33" i="163"/>
  <c r="O33" i="163"/>
  <c r="A35" i="163"/>
  <c r="A36" i="163"/>
  <c r="I36" i="163"/>
  <c r="I37" i="163" s="1"/>
  <c r="I41" i="163" s="1"/>
  <c r="J36" i="163"/>
  <c r="J37" i="163" s="1"/>
  <c r="J41" i="163" s="1"/>
  <c r="A37" i="163"/>
  <c r="A38" i="163"/>
  <c r="A39" i="163"/>
  <c r="A40" i="163"/>
  <c r="A41" i="163"/>
  <c r="E41" i="163"/>
  <c r="A42" i="163"/>
  <c r="C42" i="163"/>
  <c r="A43" i="163"/>
  <c r="A44" i="163"/>
  <c r="A45" i="163"/>
  <c r="A46" i="163"/>
  <c r="A47" i="163"/>
  <c r="A48" i="163"/>
  <c r="A49" i="163"/>
  <c r="A50" i="163"/>
  <c r="G78" i="163"/>
  <c r="G79" i="163"/>
  <c r="E80" i="163"/>
  <c r="G80" i="163"/>
  <c r="G81" i="163"/>
  <c r="J86" i="163"/>
  <c r="N4" i="161"/>
  <c r="P4" i="161"/>
  <c r="N5" i="161"/>
  <c r="P5" i="161" s="1"/>
  <c r="N6" i="161"/>
  <c r="P6" i="161"/>
  <c r="P7" i="161"/>
  <c r="N8" i="161"/>
  <c r="P8" i="161" s="1"/>
  <c r="N9" i="161"/>
  <c r="P9" i="161"/>
  <c r="N10" i="161"/>
  <c r="B11" i="161"/>
  <c r="C11" i="161"/>
  <c r="D11" i="161"/>
  <c r="E11" i="161"/>
  <c r="F11" i="161"/>
  <c r="G11" i="161"/>
  <c r="H11" i="161"/>
  <c r="I11" i="161"/>
  <c r="J11" i="161"/>
  <c r="K11" i="161"/>
  <c r="L11" i="161"/>
  <c r="M11" i="161"/>
  <c r="N11" i="161"/>
  <c r="P11" i="161" s="1"/>
  <c r="B12" i="161"/>
  <c r="C12" i="161"/>
  <c r="D12" i="161"/>
  <c r="E12" i="161"/>
  <c r="F12" i="161"/>
  <c r="G12" i="161"/>
  <c r="H12" i="161"/>
  <c r="I12" i="161"/>
  <c r="J12" i="161"/>
  <c r="K12" i="161"/>
  <c r="L12" i="161"/>
  <c r="M12" i="161"/>
  <c r="N12" i="161"/>
  <c r="P12" i="161" s="1"/>
  <c r="B13" i="161"/>
  <c r="C13" i="161"/>
  <c r="D13" i="161"/>
  <c r="E13" i="161"/>
  <c r="F13" i="161"/>
  <c r="G13" i="161"/>
  <c r="H13" i="161"/>
  <c r="I13" i="161"/>
  <c r="J13" i="161"/>
  <c r="K13" i="161"/>
  <c r="L13" i="161"/>
  <c r="M13" i="161"/>
  <c r="N18" i="161"/>
  <c r="P18" i="161" s="1"/>
  <c r="N19" i="161"/>
  <c r="P19" i="161"/>
  <c r="N20" i="161"/>
  <c r="P20" i="161" s="1"/>
  <c r="N21" i="161"/>
  <c r="P21" i="161"/>
  <c r="N22" i="161"/>
  <c r="P22" i="161" s="1"/>
  <c r="N23" i="161"/>
  <c r="N24" i="161"/>
  <c r="B25" i="161"/>
  <c r="C25" i="161"/>
  <c r="D25" i="161"/>
  <c r="E25" i="161"/>
  <c r="F25" i="161"/>
  <c r="G25" i="161"/>
  <c r="H25" i="161"/>
  <c r="I25" i="161"/>
  <c r="J25" i="161"/>
  <c r="K25" i="161"/>
  <c r="L25" i="161"/>
  <c r="M25" i="161"/>
  <c r="N25" i="161"/>
  <c r="P25" i="161"/>
  <c r="B26" i="161"/>
  <c r="C26" i="161"/>
  <c r="D26" i="161"/>
  <c r="E26" i="161"/>
  <c r="F26" i="161"/>
  <c r="G26" i="161"/>
  <c r="H26" i="161"/>
  <c r="I26" i="161"/>
  <c r="J26" i="161"/>
  <c r="K26" i="161"/>
  <c r="L26" i="161"/>
  <c r="M26" i="161"/>
  <c r="B27" i="161"/>
  <c r="C27" i="161"/>
  <c r="D27" i="161"/>
  <c r="E27" i="161"/>
  <c r="F27" i="161"/>
  <c r="G27" i="161"/>
  <c r="H27" i="161"/>
  <c r="I27" i="161"/>
  <c r="J27" i="161"/>
  <c r="K27" i="161"/>
  <c r="L27" i="161"/>
  <c r="M27" i="161"/>
  <c r="C6" i="160"/>
  <c r="D6" i="160"/>
  <c r="J6" i="160"/>
  <c r="K6" i="160"/>
  <c r="N12" i="160"/>
  <c r="D15" i="160"/>
  <c r="G15" i="160"/>
  <c r="J15" i="160"/>
  <c r="K15" i="160"/>
  <c r="B24" i="160"/>
  <c r="C30" i="160"/>
  <c r="D30" i="160"/>
  <c r="C31" i="160"/>
  <c r="D31" i="160"/>
  <c r="C32" i="160"/>
  <c r="D32" i="160"/>
  <c r="C33" i="160"/>
  <c r="D33" i="160"/>
  <c r="D39" i="160"/>
  <c r="E41" i="160"/>
  <c r="F41" i="160"/>
  <c r="G41" i="160"/>
  <c r="H41" i="160"/>
  <c r="I41" i="160"/>
  <c r="J41" i="160"/>
  <c r="O41" i="160"/>
  <c r="P41" i="160"/>
  <c r="N9" i="157"/>
  <c r="N10" i="157"/>
  <c r="N11" i="157"/>
  <c r="N12" i="157"/>
  <c r="N13" i="157"/>
  <c r="N14" i="157"/>
  <c r="N15" i="157"/>
  <c r="N16" i="157"/>
  <c r="N17" i="157"/>
  <c r="N18" i="157"/>
  <c r="N19" i="157"/>
  <c r="N20" i="157"/>
  <c r="I21" i="157"/>
  <c r="J21" i="157"/>
  <c r="K21" i="157"/>
  <c r="L21" i="157"/>
  <c r="M21" i="157"/>
  <c r="P21" i="157"/>
  <c r="Q21" i="157"/>
  <c r="R21" i="157"/>
  <c r="S21" i="157"/>
  <c r="T21" i="157"/>
  <c r="N30" i="157"/>
  <c r="N31" i="157"/>
  <c r="N32" i="157"/>
  <c r="N33" i="157"/>
  <c r="N42" i="157" s="1"/>
  <c r="N34" i="157"/>
  <c r="N35" i="157"/>
  <c r="N36" i="157"/>
  <c r="N37" i="157"/>
  <c r="N38" i="157"/>
  <c r="N39" i="157"/>
  <c r="N40" i="157"/>
  <c r="N41" i="157"/>
  <c r="I42" i="157"/>
  <c r="J42" i="157"/>
  <c r="K42" i="157"/>
  <c r="L42" i="157"/>
  <c r="M42" i="157"/>
  <c r="P42" i="157"/>
  <c r="Q42" i="157"/>
  <c r="R42" i="157"/>
  <c r="S42" i="157"/>
  <c r="T42" i="157"/>
  <c r="I48" i="157" a="1"/>
  <c r="N48" i="157" s="1"/>
  <c r="J48" i="157"/>
  <c r="K48" i="157"/>
  <c r="L48" i="157"/>
  <c r="M48" i="157"/>
  <c r="O48" i="157"/>
  <c r="P48" i="157"/>
  <c r="R48" i="157"/>
  <c r="K13" i="152" s="1"/>
  <c r="S48" i="157"/>
  <c r="T48" i="157"/>
  <c r="I49" i="157" a="1"/>
  <c r="I49" i="157" s="1"/>
  <c r="M49" i="157"/>
  <c r="N49" i="157"/>
  <c r="O49" i="157"/>
  <c r="P49" i="157"/>
  <c r="I50" i="157" a="1"/>
  <c r="P50" i="157"/>
  <c r="I15" i="152" s="1"/>
  <c r="I51" i="157" a="1"/>
  <c r="O51" i="157" s="1"/>
  <c r="K51" i="157"/>
  <c r="L51" i="157"/>
  <c r="M51" i="157"/>
  <c r="N51" i="157"/>
  <c r="P51" i="157"/>
  <c r="S51" i="157"/>
  <c r="T51" i="157"/>
  <c r="I52" i="157" a="1"/>
  <c r="N52" i="157" s="1"/>
  <c r="P52" i="157"/>
  <c r="I55" i="157" a="1"/>
  <c r="M55" i="157" s="1"/>
  <c r="I55" i="157"/>
  <c r="J55" i="157"/>
  <c r="K55" i="157"/>
  <c r="D13" i="152" s="1"/>
  <c r="L55" i="157"/>
  <c r="N55" i="157"/>
  <c r="O55" i="157"/>
  <c r="P55" i="157"/>
  <c r="Q55" i="157"/>
  <c r="R55" i="157"/>
  <c r="S55" i="157"/>
  <c r="T55" i="157"/>
  <c r="I56" i="157" a="1"/>
  <c r="I56" i="157"/>
  <c r="J56" i="157"/>
  <c r="K56" i="157"/>
  <c r="L56" i="157"/>
  <c r="M56" i="157"/>
  <c r="N56" i="157"/>
  <c r="O56" i="157"/>
  <c r="P56" i="157"/>
  <c r="Q56" i="157"/>
  <c r="R56" i="157"/>
  <c r="S56" i="157"/>
  <c r="T56" i="157"/>
  <c r="I57" i="157" a="1"/>
  <c r="J57" i="157" s="1"/>
  <c r="I57" i="157"/>
  <c r="O57" i="157"/>
  <c r="P57" i="157"/>
  <c r="Q57" i="157"/>
  <c r="I58" i="157" a="1"/>
  <c r="N58" i="157" s="1"/>
  <c r="J58" i="157"/>
  <c r="K58" i="157"/>
  <c r="L58" i="157"/>
  <c r="E16" i="152" s="1"/>
  <c r="M58" i="157"/>
  <c r="O58" i="157"/>
  <c r="P58" i="157"/>
  <c r="R58" i="157"/>
  <c r="S58" i="157"/>
  <c r="T58" i="157"/>
  <c r="I59" i="157" a="1"/>
  <c r="I59" i="157" s="1"/>
  <c r="M59" i="157"/>
  <c r="N59" i="157"/>
  <c r="O59" i="157"/>
  <c r="P59" i="157"/>
  <c r="E7" i="156"/>
  <c r="K7" i="156"/>
  <c r="K19" i="156" s="1"/>
  <c r="E8" i="156"/>
  <c r="K8" i="156"/>
  <c r="E9" i="156"/>
  <c r="K9" i="156"/>
  <c r="E10" i="156"/>
  <c r="K10" i="156"/>
  <c r="E11" i="156"/>
  <c r="K11" i="156"/>
  <c r="E12" i="156"/>
  <c r="K12" i="156"/>
  <c r="E13" i="156"/>
  <c r="K13" i="156"/>
  <c r="E14" i="156"/>
  <c r="K14" i="156"/>
  <c r="E15" i="156"/>
  <c r="K15" i="156"/>
  <c r="E16" i="156"/>
  <c r="K16" i="156"/>
  <c r="E17" i="156"/>
  <c r="K17" i="156"/>
  <c r="E18" i="156"/>
  <c r="K18" i="156"/>
  <c r="C19" i="156"/>
  <c r="D19" i="156"/>
  <c r="E19" i="156"/>
  <c r="I19" i="156"/>
  <c r="J19" i="156"/>
  <c r="E26" i="156"/>
  <c r="K26" i="156"/>
  <c r="E27" i="156"/>
  <c r="K27" i="156"/>
  <c r="K38" i="156" s="1"/>
  <c r="E28" i="156"/>
  <c r="E38" i="156" s="1"/>
  <c r="K28" i="156"/>
  <c r="E29" i="156"/>
  <c r="K29" i="156"/>
  <c r="E30" i="156"/>
  <c r="K30" i="156"/>
  <c r="E31" i="156"/>
  <c r="K31" i="156"/>
  <c r="E32" i="156"/>
  <c r="K32" i="156"/>
  <c r="E33" i="156"/>
  <c r="K33" i="156"/>
  <c r="E34" i="156"/>
  <c r="K34" i="156"/>
  <c r="E35" i="156"/>
  <c r="K35" i="156"/>
  <c r="E36" i="156"/>
  <c r="K36" i="156"/>
  <c r="E37" i="156"/>
  <c r="K37" i="156"/>
  <c r="C38" i="156"/>
  <c r="D38" i="156"/>
  <c r="I38" i="156"/>
  <c r="J38" i="156"/>
  <c r="C44" i="156" a="1"/>
  <c r="D44" i="156" s="1"/>
  <c r="C44" i="156"/>
  <c r="I44" i="156"/>
  <c r="J44" i="156"/>
  <c r="K44" i="156"/>
  <c r="C45" i="156" a="1"/>
  <c r="C45" i="156" s="1"/>
  <c r="D45" i="156"/>
  <c r="E45" i="156"/>
  <c r="F45" i="156"/>
  <c r="G45" i="156"/>
  <c r="H45" i="156"/>
  <c r="I45" i="156"/>
  <c r="J45" i="156"/>
  <c r="L45" i="156"/>
  <c r="M45" i="156"/>
  <c r="N45" i="156"/>
  <c r="C49" i="156" a="1"/>
  <c r="D49" i="156"/>
  <c r="J49" i="156"/>
  <c r="L49" i="156"/>
  <c r="C50" i="156" a="1"/>
  <c r="I50" i="156" s="1"/>
  <c r="E50" i="156"/>
  <c r="F50" i="156"/>
  <c r="G50" i="156"/>
  <c r="F25" i="152" s="1"/>
  <c r="H50" i="156"/>
  <c r="J50" i="156"/>
  <c r="M50" i="156"/>
  <c r="N50" i="156"/>
  <c r="C4" i="155"/>
  <c r="D4" i="155"/>
  <c r="D29" i="155" s="1"/>
  <c r="E4" i="155"/>
  <c r="E29" i="155" s="1"/>
  <c r="F4" i="155"/>
  <c r="F29" i="155" s="1"/>
  <c r="G4" i="155"/>
  <c r="H4" i="155"/>
  <c r="I4" i="155"/>
  <c r="J4" i="155"/>
  <c r="J62" i="155" s="1"/>
  <c r="K4" i="155"/>
  <c r="L4" i="155"/>
  <c r="L62" i="155" s="1"/>
  <c r="M4" i="155"/>
  <c r="M62" i="155" s="1"/>
  <c r="N4" i="155"/>
  <c r="N29" i="155" s="1"/>
  <c r="O11" i="155"/>
  <c r="O15" i="155"/>
  <c r="O16" i="155"/>
  <c r="O24" i="155" s="1"/>
  <c r="O17" i="155"/>
  <c r="O18" i="155"/>
  <c r="O23" i="155" s="1"/>
  <c r="O19" i="155"/>
  <c r="O20" i="155"/>
  <c r="C21" i="155"/>
  <c r="D21" i="155"/>
  <c r="E21" i="155"/>
  <c r="F21" i="155"/>
  <c r="G21" i="155"/>
  <c r="H21" i="155"/>
  <c r="I21" i="155"/>
  <c r="J21" i="155"/>
  <c r="K21" i="155"/>
  <c r="L21" i="155"/>
  <c r="M21" i="155"/>
  <c r="N21" i="155"/>
  <c r="C23" i="155"/>
  <c r="C25" i="155" s="1"/>
  <c r="D23" i="155"/>
  <c r="E23" i="155"/>
  <c r="F23" i="155"/>
  <c r="F25" i="155" s="1"/>
  <c r="G23" i="155"/>
  <c r="H23" i="155"/>
  <c r="I23" i="155"/>
  <c r="J23" i="155"/>
  <c r="J25" i="155" s="1"/>
  <c r="K23" i="155"/>
  <c r="K25" i="155" s="1"/>
  <c r="L23" i="155"/>
  <c r="M23" i="155"/>
  <c r="M25" i="155" s="1"/>
  <c r="N23" i="155"/>
  <c r="N25" i="155" s="1"/>
  <c r="C24" i="155"/>
  <c r="D24" i="155"/>
  <c r="D25" i="155" s="1"/>
  <c r="E24" i="155"/>
  <c r="E25" i="155" s="1"/>
  <c r="F24" i="155"/>
  <c r="G24" i="155"/>
  <c r="H24" i="155"/>
  <c r="I24" i="155"/>
  <c r="J24" i="155"/>
  <c r="K24" i="155"/>
  <c r="L24" i="155"/>
  <c r="L25" i="155" s="1"/>
  <c r="M24" i="155"/>
  <c r="N24" i="155"/>
  <c r="G25" i="155"/>
  <c r="H25" i="155"/>
  <c r="I25" i="155"/>
  <c r="O25" i="155"/>
  <c r="G29" i="155"/>
  <c r="H29" i="155"/>
  <c r="O35" i="155"/>
  <c r="O36" i="155"/>
  <c r="C37" i="155"/>
  <c r="D37" i="155"/>
  <c r="E37" i="155"/>
  <c r="E56" i="155" s="1"/>
  <c r="F37" i="155"/>
  <c r="F56" i="155" s="1"/>
  <c r="G37" i="155"/>
  <c r="G56" i="155" s="1"/>
  <c r="H37" i="155"/>
  <c r="I37" i="155"/>
  <c r="J37" i="155"/>
  <c r="K37" i="155"/>
  <c r="L37" i="155"/>
  <c r="L56" i="155" s="1"/>
  <c r="M37" i="155"/>
  <c r="M56" i="155" s="1"/>
  <c r="N37" i="155"/>
  <c r="N56" i="155" s="1"/>
  <c r="O39" i="155"/>
  <c r="O40" i="155"/>
  <c r="C41" i="155"/>
  <c r="D41" i="155"/>
  <c r="E41" i="155"/>
  <c r="E53" i="155" s="1"/>
  <c r="F41" i="155"/>
  <c r="G41" i="155"/>
  <c r="G55" i="155" s="1"/>
  <c r="F4" i="152" s="1"/>
  <c r="H41" i="155"/>
  <c r="I41" i="155"/>
  <c r="J41" i="155"/>
  <c r="K41" i="155"/>
  <c r="L41" i="155"/>
  <c r="M41" i="155"/>
  <c r="M53" i="155" s="1"/>
  <c r="N41" i="155"/>
  <c r="O41" i="155"/>
  <c r="O43" i="155"/>
  <c r="O44" i="155"/>
  <c r="C45" i="155"/>
  <c r="C55" i="155" s="1"/>
  <c r="B4" i="152" s="1"/>
  <c r="D45" i="155"/>
  <c r="E45" i="155"/>
  <c r="F45" i="155"/>
  <c r="G45" i="155"/>
  <c r="H45" i="155"/>
  <c r="H55" i="155" s="1"/>
  <c r="I45" i="155"/>
  <c r="I55" i="155" s="1"/>
  <c r="J45" i="155"/>
  <c r="K45" i="155"/>
  <c r="K55" i="155" s="1"/>
  <c r="J4" i="152" s="1"/>
  <c r="L45" i="155"/>
  <c r="M45" i="155"/>
  <c r="N45" i="155"/>
  <c r="N55" i="155" s="1"/>
  <c r="M4" i="152" s="1"/>
  <c r="M52" i="152" s="1"/>
  <c r="O50" i="155"/>
  <c r="O51" i="155"/>
  <c r="C52" i="155"/>
  <c r="D52" i="155"/>
  <c r="E52" i="155"/>
  <c r="F52" i="155"/>
  <c r="G52" i="155"/>
  <c r="H52" i="155"/>
  <c r="H57" i="155" s="1"/>
  <c r="I52" i="155"/>
  <c r="J52" i="155"/>
  <c r="J57" i="155" s="1"/>
  <c r="K52" i="155"/>
  <c r="L52" i="155"/>
  <c r="M52" i="155"/>
  <c r="N52" i="155"/>
  <c r="O52" i="155"/>
  <c r="O57" i="155" s="1"/>
  <c r="C53" i="155"/>
  <c r="D53" i="155"/>
  <c r="J53" i="155"/>
  <c r="K53" i="155"/>
  <c r="D55" i="155"/>
  <c r="E55" i="155"/>
  <c r="F55" i="155"/>
  <c r="E4" i="152" s="1"/>
  <c r="E9" i="152" s="1"/>
  <c r="J55" i="155"/>
  <c r="L55" i="155"/>
  <c r="M55" i="155"/>
  <c r="C56" i="155"/>
  <c r="H56" i="155"/>
  <c r="G5" i="152" s="1"/>
  <c r="I56" i="155"/>
  <c r="J56" i="155"/>
  <c r="K56" i="155"/>
  <c r="C57" i="155"/>
  <c r="D57" i="155"/>
  <c r="E57" i="155"/>
  <c r="F57" i="155"/>
  <c r="K57" i="155"/>
  <c r="J6" i="152" s="1"/>
  <c r="L57" i="155"/>
  <c r="M57" i="155"/>
  <c r="N57" i="155"/>
  <c r="D62" i="155"/>
  <c r="E62" i="155"/>
  <c r="F62" i="155"/>
  <c r="G62" i="155"/>
  <c r="H62" i="155"/>
  <c r="O65" i="155"/>
  <c r="C66" i="155"/>
  <c r="D66" i="155"/>
  <c r="E66" i="155"/>
  <c r="F66" i="155"/>
  <c r="F81" i="155" s="1"/>
  <c r="G66" i="155"/>
  <c r="H66" i="155"/>
  <c r="I66" i="155"/>
  <c r="I81" i="155" s="1"/>
  <c r="J66" i="155"/>
  <c r="J79" i="155" s="1"/>
  <c r="K66" i="155"/>
  <c r="L66" i="155"/>
  <c r="M66" i="155"/>
  <c r="N66" i="155"/>
  <c r="N81" i="155" s="1"/>
  <c r="O69" i="155"/>
  <c r="C70" i="155"/>
  <c r="D70" i="155"/>
  <c r="D82" i="155" s="1"/>
  <c r="C5" i="153" s="1"/>
  <c r="E70" i="155"/>
  <c r="E82" i="155" s="1"/>
  <c r="D5" i="153" s="1"/>
  <c r="F70" i="155"/>
  <c r="G70" i="155"/>
  <c r="H70" i="155"/>
  <c r="I70" i="155"/>
  <c r="J70" i="155"/>
  <c r="K70" i="155"/>
  <c r="L70" i="155"/>
  <c r="L82" i="155" s="1"/>
  <c r="K5" i="153" s="1"/>
  <c r="M70" i="155"/>
  <c r="N70" i="155"/>
  <c r="O76" i="155"/>
  <c r="O77" i="155"/>
  <c r="C78" i="155"/>
  <c r="D78" i="155"/>
  <c r="E78" i="155"/>
  <c r="F78" i="155"/>
  <c r="G78" i="155"/>
  <c r="G83" i="155" s="1"/>
  <c r="F6" i="153" s="1"/>
  <c r="H78" i="155"/>
  <c r="I78" i="155"/>
  <c r="J78" i="155"/>
  <c r="K78" i="155"/>
  <c r="L78" i="155"/>
  <c r="M78" i="155"/>
  <c r="N78" i="155"/>
  <c r="G79" i="155"/>
  <c r="H79" i="155"/>
  <c r="I79" i="155"/>
  <c r="C81" i="155"/>
  <c r="D81" i="155"/>
  <c r="E81" i="155"/>
  <c r="G81" i="155"/>
  <c r="H81" i="155"/>
  <c r="K81" i="155"/>
  <c r="L81" i="155"/>
  <c r="M81" i="155"/>
  <c r="F82" i="155"/>
  <c r="E5" i="153" s="1"/>
  <c r="G82" i="155"/>
  <c r="F5" i="153" s="1"/>
  <c r="H82" i="155"/>
  <c r="I82" i="155"/>
  <c r="J82" i="155"/>
  <c r="M82" i="155"/>
  <c r="L5" i="153" s="1"/>
  <c r="L19" i="153" s="1"/>
  <c r="N82" i="155"/>
  <c r="M5" i="153" s="1"/>
  <c r="C83" i="155"/>
  <c r="H83" i="155"/>
  <c r="G6" i="153" s="1"/>
  <c r="I83" i="155"/>
  <c r="J83" i="155"/>
  <c r="K83" i="155"/>
  <c r="C84" i="155"/>
  <c r="D84" i="155"/>
  <c r="C7" i="153" s="1"/>
  <c r="C21" i="153" s="1"/>
  <c r="E84" i="155"/>
  <c r="F84" i="155"/>
  <c r="G84" i="155"/>
  <c r="H84" i="155"/>
  <c r="I84" i="155"/>
  <c r="J84" i="155"/>
  <c r="K84" i="155"/>
  <c r="L84" i="155"/>
  <c r="K7" i="153" s="1"/>
  <c r="K21" i="153" s="1"/>
  <c r="M84" i="155"/>
  <c r="N84" i="155"/>
  <c r="O84" i="155"/>
  <c r="H85" i="155"/>
  <c r="D4" i="153"/>
  <c r="E4" i="153"/>
  <c r="F4" i="153"/>
  <c r="G4" i="153"/>
  <c r="L4" i="153"/>
  <c r="G5" i="153"/>
  <c r="H5" i="153"/>
  <c r="I5" i="153"/>
  <c r="B6" i="153"/>
  <c r="H6" i="153"/>
  <c r="I6" i="153"/>
  <c r="J6" i="153"/>
  <c r="B7" i="153"/>
  <c r="D7" i="153"/>
  <c r="D21" i="153" s="1"/>
  <c r="G23" i="160" s="1"/>
  <c r="G33" i="160" s="1"/>
  <c r="E7" i="153"/>
  <c r="E21" i="153" s="1"/>
  <c r="H23" i="160" s="1"/>
  <c r="H33" i="160" s="1"/>
  <c r="F7" i="153"/>
  <c r="F21" i="153" s="1"/>
  <c r="G7" i="153"/>
  <c r="H7" i="153"/>
  <c r="H21" i="153" s="1"/>
  <c r="I7" i="153"/>
  <c r="J7" i="153"/>
  <c r="J21" i="153" s="1"/>
  <c r="M23" i="160" s="1"/>
  <c r="M33" i="160" s="1"/>
  <c r="L7" i="153"/>
  <c r="M7" i="153"/>
  <c r="B11" i="153"/>
  <c r="C11" i="153"/>
  <c r="D11" i="153"/>
  <c r="E11" i="153"/>
  <c r="F11" i="153"/>
  <c r="G11" i="153"/>
  <c r="H11" i="153"/>
  <c r="I11" i="153"/>
  <c r="J11" i="153"/>
  <c r="J15" i="153" s="1"/>
  <c r="K11" i="153"/>
  <c r="L11" i="153"/>
  <c r="M11" i="153"/>
  <c r="B12" i="153"/>
  <c r="C12" i="153"/>
  <c r="D12" i="153"/>
  <c r="E12" i="153"/>
  <c r="E15" i="153" s="1"/>
  <c r="F12" i="153"/>
  <c r="G12" i="153"/>
  <c r="H12" i="153"/>
  <c r="I12" i="153"/>
  <c r="J12" i="153"/>
  <c r="K12" i="153"/>
  <c r="K19" i="153" s="1"/>
  <c r="N21" i="160" s="1"/>
  <c r="L12" i="153"/>
  <c r="M12" i="153"/>
  <c r="B13" i="153"/>
  <c r="C13" i="153"/>
  <c r="D13" i="153"/>
  <c r="E13" i="153"/>
  <c r="F13" i="153"/>
  <c r="G13" i="153"/>
  <c r="H13" i="153"/>
  <c r="I13" i="153"/>
  <c r="J13" i="153"/>
  <c r="K13" i="153"/>
  <c r="L13" i="153"/>
  <c r="M13" i="153"/>
  <c r="M15" i="153" s="1"/>
  <c r="N13" i="153"/>
  <c r="B14" i="153"/>
  <c r="C14" i="153"/>
  <c r="D14" i="153"/>
  <c r="E14" i="153"/>
  <c r="F14" i="153"/>
  <c r="G14" i="153"/>
  <c r="H14" i="153"/>
  <c r="I14" i="153"/>
  <c r="J14" i="153"/>
  <c r="K14" i="153"/>
  <c r="L14" i="153"/>
  <c r="M14" i="153"/>
  <c r="M21" i="153" s="1"/>
  <c r="M34" i="153" s="1"/>
  <c r="G18" i="153"/>
  <c r="J20" i="160" s="1"/>
  <c r="I19" i="153"/>
  <c r="L21" i="160" s="1"/>
  <c r="B20" i="153"/>
  <c r="E22" i="160" s="1"/>
  <c r="G20" i="153"/>
  <c r="J22" i="160" s="1"/>
  <c r="J32" i="160" s="1"/>
  <c r="J20" i="153"/>
  <c r="M22" i="160" s="1"/>
  <c r="B2" i="152"/>
  <c r="B2" i="153" s="1"/>
  <c r="E18" i="160" s="1"/>
  <c r="C2" i="152"/>
  <c r="C2" i="153" s="1"/>
  <c r="F18" i="160" s="1"/>
  <c r="F11" i="160" s="1"/>
  <c r="D2" i="152"/>
  <c r="D2" i="153" s="1"/>
  <c r="G18" i="160" s="1"/>
  <c r="E2" i="152"/>
  <c r="E2" i="153" s="1"/>
  <c r="H18" i="160" s="1"/>
  <c r="F2" i="152"/>
  <c r="F2" i="153" s="1"/>
  <c r="I18" i="160" s="1"/>
  <c r="G2" i="152"/>
  <c r="G2" i="153" s="1"/>
  <c r="J18" i="160" s="1"/>
  <c r="H2" i="152"/>
  <c r="H2" i="153" s="1"/>
  <c r="K18" i="160" s="1"/>
  <c r="K28" i="160" s="1"/>
  <c r="I2" i="152"/>
  <c r="I2" i="153" s="1"/>
  <c r="L18" i="160" s="1"/>
  <c r="J2" i="152"/>
  <c r="J2" i="153" s="1"/>
  <c r="M18" i="160" s="1"/>
  <c r="K2" i="152"/>
  <c r="K2" i="153" s="1"/>
  <c r="N18" i="160" s="1"/>
  <c r="L2" i="152"/>
  <c r="L2" i="153" s="1"/>
  <c r="O18" i="160" s="1"/>
  <c r="M2" i="152"/>
  <c r="M2" i="153" s="1"/>
  <c r="P18" i="160" s="1"/>
  <c r="C4" i="152"/>
  <c r="D4" i="152"/>
  <c r="G4" i="152"/>
  <c r="H4" i="152"/>
  <c r="I4" i="152"/>
  <c r="K4" i="152"/>
  <c r="L4" i="152"/>
  <c r="B5" i="152"/>
  <c r="D5" i="152"/>
  <c r="E5" i="152"/>
  <c r="F5" i="152"/>
  <c r="H5" i="152"/>
  <c r="I5" i="152"/>
  <c r="I52" i="152" s="1"/>
  <c r="J5" i="152"/>
  <c r="K5" i="152"/>
  <c r="K52" i="152" s="1"/>
  <c r="L5" i="152"/>
  <c r="M5" i="152"/>
  <c r="B6" i="152"/>
  <c r="C6" i="152"/>
  <c r="D6" i="152"/>
  <c r="D9" i="152" s="1"/>
  <c r="E6" i="152"/>
  <c r="G6" i="152"/>
  <c r="I6" i="152"/>
  <c r="K6" i="152"/>
  <c r="L6" i="152"/>
  <c r="M6" i="152"/>
  <c r="B7" i="152"/>
  <c r="C7" i="152"/>
  <c r="C45" i="152" s="1"/>
  <c r="D7" i="152"/>
  <c r="E7" i="152"/>
  <c r="E45" i="152" s="1"/>
  <c r="F7" i="152"/>
  <c r="F45" i="152" s="1"/>
  <c r="G7" i="152"/>
  <c r="G45" i="152" s="1"/>
  <c r="H7" i="152"/>
  <c r="I7" i="152"/>
  <c r="J7" i="152"/>
  <c r="K7" i="152"/>
  <c r="L7" i="152"/>
  <c r="M7" i="152"/>
  <c r="N7" i="152"/>
  <c r="O7" i="152" s="1"/>
  <c r="B8" i="152"/>
  <c r="B45" i="152" s="1"/>
  <c r="C8" i="152"/>
  <c r="D8" i="152"/>
  <c r="E8" i="152"/>
  <c r="F8" i="152"/>
  <c r="G8" i="152"/>
  <c r="H8" i="152"/>
  <c r="I8" i="152"/>
  <c r="J8" i="152"/>
  <c r="K8" i="152"/>
  <c r="L8" i="152"/>
  <c r="M8" i="152"/>
  <c r="B13" i="152"/>
  <c r="C13" i="152"/>
  <c r="E13" i="152"/>
  <c r="F13" i="152"/>
  <c r="G13" i="152"/>
  <c r="H13" i="152"/>
  <c r="I13" i="152"/>
  <c r="L13" i="152"/>
  <c r="M13" i="152"/>
  <c r="B14" i="152"/>
  <c r="C14" i="152"/>
  <c r="D14" i="152"/>
  <c r="E14" i="152"/>
  <c r="F14" i="152"/>
  <c r="G14" i="152"/>
  <c r="H14" i="152"/>
  <c r="I14" i="152"/>
  <c r="L14" i="152"/>
  <c r="M14" i="152"/>
  <c r="B15" i="152"/>
  <c r="C15" i="152"/>
  <c r="C16" i="152"/>
  <c r="D16" i="152"/>
  <c r="F16" i="152"/>
  <c r="G16" i="152"/>
  <c r="H16" i="152"/>
  <c r="I16" i="152"/>
  <c r="L16" i="152"/>
  <c r="M16" i="152"/>
  <c r="B17" i="152"/>
  <c r="F17" i="152"/>
  <c r="G17" i="152"/>
  <c r="I17" i="152"/>
  <c r="B20" i="152"/>
  <c r="C20" i="152"/>
  <c r="D20" i="152"/>
  <c r="E20" i="152"/>
  <c r="F20" i="152"/>
  <c r="G20" i="152"/>
  <c r="H20" i="152"/>
  <c r="I20" i="152"/>
  <c r="J20" i="152"/>
  <c r="K20" i="152"/>
  <c r="L20" i="152"/>
  <c r="M20" i="152"/>
  <c r="C24" i="152"/>
  <c r="H24" i="152"/>
  <c r="I24" i="152"/>
  <c r="J24" i="152"/>
  <c r="D25" i="152"/>
  <c r="E25" i="152"/>
  <c r="G25" i="152"/>
  <c r="H25" i="152"/>
  <c r="I25" i="152"/>
  <c r="L25" i="152"/>
  <c r="M25" i="152"/>
  <c r="K33" i="152"/>
  <c r="D45" i="152"/>
  <c r="H45" i="152"/>
  <c r="I45" i="152"/>
  <c r="J45" i="152"/>
  <c r="L45" i="152"/>
  <c r="E52" i="152"/>
  <c r="G52" i="152"/>
  <c r="A12" i="151"/>
  <c r="A13" i="151" s="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B13" i="151" a="1"/>
  <c r="B13" i="151" s="1"/>
  <c r="E13" i="151"/>
  <c r="F13" i="151"/>
  <c r="F25" i="151" s="1"/>
  <c r="E14" i="151"/>
  <c r="F14" i="151" s="1"/>
  <c r="E15" i="151"/>
  <c r="F15" i="151"/>
  <c r="B16" i="151"/>
  <c r="E16" i="151"/>
  <c r="F16" i="151" s="1"/>
  <c r="E17" i="151"/>
  <c r="F17" i="151"/>
  <c r="B18" i="151"/>
  <c r="E18" i="151"/>
  <c r="F18" i="151" s="1"/>
  <c r="E19" i="151"/>
  <c r="F19" i="151"/>
  <c r="B20" i="151"/>
  <c r="E20" i="151"/>
  <c r="F20" i="151" s="1"/>
  <c r="E21" i="151"/>
  <c r="F21" i="151"/>
  <c r="B22" i="151"/>
  <c r="E22" i="151"/>
  <c r="F22" i="151" s="1"/>
  <c r="E23" i="151"/>
  <c r="F23" i="151"/>
  <c r="B24" i="151"/>
  <c r="E24" i="151"/>
  <c r="F24" i="151" s="1"/>
  <c r="C25" i="151"/>
  <c r="D25" i="151"/>
  <c r="E25" i="151"/>
  <c r="B2" i="150"/>
  <c r="C2" i="150"/>
  <c r="D2" i="150"/>
  <c r="E2" i="150"/>
  <c r="F2" i="150"/>
  <c r="G2" i="150"/>
  <c r="H2" i="150"/>
  <c r="I2" i="150"/>
  <c r="J2" i="150"/>
  <c r="K2" i="150"/>
  <c r="L2" i="150"/>
  <c r="M2" i="150"/>
  <c r="B5" i="150"/>
  <c r="C5" i="150"/>
  <c r="C33" i="152" s="1"/>
  <c r="D5" i="150"/>
  <c r="D29" i="153" s="1"/>
  <c r="E5" i="150"/>
  <c r="E29" i="153" s="1"/>
  <c r="F5" i="150"/>
  <c r="G5" i="150"/>
  <c r="G29" i="153" s="1"/>
  <c r="H5" i="150"/>
  <c r="H29" i="153" s="1"/>
  <c r="I5" i="150"/>
  <c r="J5" i="150"/>
  <c r="K5" i="150"/>
  <c r="K29" i="153" s="1"/>
  <c r="L5" i="150"/>
  <c r="L29" i="153" s="1"/>
  <c r="M5" i="150"/>
  <c r="M29" i="153" s="1"/>
  <c r="B10" i="150"/>
  <c r="C10" i="150"/>
  <c r="D10" i="150"/>
  <c r="E10" i="150"/>
  <c r="F10" i="150"/>
  <c r="G10" i="150"/>
  <c r="H10" i="150"/>
  <c r="I10" i="150"/>
  <c r="J10" i="150"/>
  <c r="K10" i="150"/>
  <c r="L10" i="150"/>
  <c r="M10" i="150"/>
  <c r="B10" i="149"/>
  <c r="C10" i="149"/>
  <c r="D10" i="149"/>
  <c r="E10" i="149"/>
  <c r="F10" i="149"/>
  <c r="H10" i="149"/>
  <c r="I10" i="149"/>
  <c r="J10" i="149"/>
  <c r="K10" i="149"/>
  <c r="L10" i="149"/>
  <c r="M10" i="149"/>
  <c r="G13" i="149"/>
  <c r="G15" i="149"/>
  <c r="G16" i="149"/>
  <c r="G17" i="149"/>
  <c r="G18" i="149"/>
  <c r="B22" i="149"/>
  <c r="C22" i="149"/>
  <c r="N22" i="149"/>
  <c r="B23" i="149"/>
  <c r="C23" i="149"/>
  <c r="N23" i="149"/>
  <c r="I23" i="160" l="1"/>
  <c r="I33" i="160" s="1"/>
  <c r="F34" i="153"/>
  <c r="L9" i="152"/>
  <c r="B15" i="153"/>
  <c r="I20" i="153"/>
  <c r="L22" i="160" s="1"/>
  <c r="M29" i="155"/>
  <c r="G9" i="152"/>
  <c r="L29" i="155"/>
  <c r="D52" i="152"/>
  <c r="D15" i="153"/>
  <c r="H15" i="153"/>
  <c r="F28" i="160"/>
  <c r="B14" i="151"/>
  <c r="C9" i="150" s="1"/>
  <c r="C11" i="150" s="1"/>
  <c r="F56" i="163" s="1"/>
  <c r="G15" i="153"/>
  <c r="I18" i="152"/>
  <c r="I47" i="152" s="1"/>
  <c r="I21" i="153"/>
  <c r="H19" i="153"/>
  <c r="K21" i="160" s="1"/>
  <c r="C29" i="153"/>
  <c r="G21" i="153"/>
  <c r="J23" i="160" s="1"/>
  <c r="L15" i="153"/>
  <c r="L18" i="153"/>
  <c r="O20" i="160" s="1"/>
  <c r="N62" i="155"/>
  <c r="M45" i="152"/>
  <c r="Q12" i="163"/>
  <c r="N10" i="150"/>
  <c r="E19" i="153"/>
  <c r="H21" i="160" s="1"/>
  <c r="F19" i="153"/>
  <c r="I21" i="160" s="1"/>
  <c r="J29" i="155"/>
  <c r="F20" i="153"/>
  <c r="I22" i="160" s="1"/>
  <c r="I32" i="160" s="1"/>
  <c r="H33" i="152"/>
  <c r="H20" i="153"/>
  <c r="K22" i="160" s="1"/>
  <c r="K32" i="160" s="1"/>
  <c r="L21" i="153"/>
  <c r="D18" i="153"/>
  <c r="G20" i="160" s="1"/>
  <c r="G44" i="160" s="1"/>
  <c r="M19" i="153"/>
  <c r="P21" i="160" s="1"/>
  <c r="J52" i="152"/>
  <c r="J9" i="152"/>
  <c r="N4" i="152"/>
  <c r="B52" i="152"/>
  <c r="B9" i="152"/>
  <c r="D4" i="150"/>
  <c r="D6" i="150" s="1"/>
  <c r="D4" i="149" s="1"/>
  <c r="B9" i="150"/>
  <c r="N45" i="160"/>
  <c r="N31" i="160"/>
  <c r="I29" i="153"/>
  <c r="M32" i="160"/>
  <c r="M39" i="160"/>
  <c r="M41" i="160" s="1"/>
  <c r="L32" i="160"/>
  <c r="L39" i="160"/>
  <c r="L41" i="160" s="1"/>
  <c r="E18" i="153"/>
  <c r="E8" i="153"/>
  <c r="G57" i="155"/>
  <c r="F6" i="152" s="1"/>
  <c r="F52" i="152" s="1"/>
  <c r="G53" i="155"/>
  <c r="I33" i="152"/>
  <c r="K11" i="160"/>
  <c r="I54" i="163"/>
  <c r="I43" i="163"/>
  <c r="I44" i="163" s="1"/>
  <c r="N20" i="152"/>
  <c r="N5" i="150"/>
  <c r="F29" i="153"/>
  <c r="F33" i="152"/>
  <c r="G33" i="152"/>
  <c r="K45" i="152"/>
  <c r="N45" i="152" s="1"/>
  <c r="K9" i="152"/>
  <c r="I28" i="160"/>
  <c r="I11" i="160"/>
  <c r="K23" i="160"/>
  <c r="K33" i="160" s="1"/>
  <c r="H34" i="153"/>
  <c r="L23" i="160"/>
  <c r="L33" i="160" s="1"/>
  <c r="I34" i="153"/>
  <c r="K31" i="160"/>
  <c r="K45" i="160"/>
  <c r="I45" i="160"/>
  <c r="I31" i="160"/>
  <c r="M4" i="153"/>
  <c r="F85" i="155"/>
  <c r="K50" i="157"/>
  <c r="S50" i="157"/>
  <c r="L50" i="157"/>
  <c r="T50" i="157"/>
  <c r="M50" i="157"/>
  <c r="N50" i="157"/>
  <c r="O50" i="157"/>
  <c r="H15" i="152" s="1"/>
  <c r="I50" i="157"/>
  <c r="Q50" i="157"/>
  <c r="J15" i="152" s="1"/>
  <c r="R50" i="157"/>
  <c r="K15" i="152" s="1"/>
  <c r="J50" i="157"/>
  <c r="H28" i="160"/>
  <c r="H11" i="160"/>
  <c r="B4" i="150"/>
  <c r="B23" i="151"/>
  <c r="B21" i="151"/>
  <c r="L4" i="150" s="1"/>
  <c r="L6" i="150" s="1"/>
  <c r="L4" i="149" s="1"/>
  <c r="B19" i="151"/>
  <c r="B17" i="151"/>
  <c r="B15" i="151"/>
  <c r="E33" i="152"/>
  <c r="N11" i="153"/>
  <c r="F15" i="153"/>
  <c r="N7" i="153"/>
  <c r="B4" i="153"/>
  <c r="L11" i="160"/>
  <c r="L28" i="160"/>
  <c r="E43" i="163"/>
  <c r="E54" i="163"/>
  <c r="D33" i="152"/>
  <c r="O28" i="160"/>
  <c r="O11" i="160"/>
  <c r="G28" i="160"/>
  <c r="G11" i="160"/>
  <c r="J34" i="153"/>
  <c r="L31" i="160"/>
  <c r="L45" i="160"/>
  <c r="M85" i="155"/>
  <c r="C19" i="153"/>
  <c r="F21" i="160" s="1"/>
  <c r="N12" i="153"/>
  <c r="L52" i="152"/>
  <c r="M33" i="152"/>
  <c r="I9" i="152"/>
  <c r="B21" i="153"/>
  <c r="C15" i="153"/>
  <c r="P45" i="160"/>
  <c r="P31" i="160"/>
  <c r="J33" i="152"/>
  <c r="J29" i="153"/>
  <c r="B33" i="152"/>
  <c r="B29" i="153"/>
  <c r="L33" i="152"/>
  <c r="N8" i="152"/>
  <c r="O8" i="152" s="1"/>
  <c r="M11" i="160"/>
  <c r="M28" i="160"/>
  <c r="E28" i="160"/>
  <c r="E11" i="160"/>
  <c r="D34" i="153"/>
  <c r="K15" i="153"/>
  <c r="K39" i="160"/>
  <c r="F18" i="153"/>
  <c r="N23" i="160"/>
  <c r="N33" i="160" s="1"/>
  <c r="K34" i="153"/>
  <c r="F23" i="160"/>
  <c r="F33" i="160" s="1"/>
  <c r="C34" i="153"/>
  <c r="O21" i="160"/>
  <c r="J4" i="153"/>
  <c r="D19" i="153"/>
  <c r="M9" i="152"/>
  <c r="P28" i="160"/>
  <c r="P11" i="160"/>
  <c r="L85" i="155"/>
  <c r="K4" i="153"/>
  <c r="M8" i="163"/>
  <c r="M16" i="163" s="1"/>
  <c r="M21" i="163" s="1"/>
  <c r="M36" i="163" s="1"/>
  <c r="M37" i="163" s="1"/>
  <c r="M40" i="163" s="1"/>
  <c r="O37" i="164"/>
  <c r="G37" i="164"/>
  <c r="F29" i="164"/>
  <c r="N11" i="160"/>
  <c r="N28" i="160"/>
  <c r="F8" i="153"/>
  <c r="G8" i="153"/>
  <c r="G19" i="153"/>
  <c r="J21" i="160" s="1"/>
  <c r="G85" i="155"/>
  <c r="J81" i="155"/>
  <c r="O66" i="155"/>
  <c r="O81" i="155" s="1"/>
  <c r="L53" i="155"/>
  <c r="K62" i="155"/>
  <c r="K29" i="155"/>
  <c r="C62" i="155"/>
  <c r="C29" i="155"/>
  <c r="P23" i="160"/>
  <c r="P33" i="160" s="1"/>
  <c r="K10" i="163"/>
  <c r="Q10" i="163" s="1"/>
  <c r="M37" i="164"/>
  <c r="Q37" i="164"/>
  <c r="O9" i="163"/>
  <c r="Q9" i="163" s="1"/>
  <c r="I37" i="164"/>
  <c r="F30" i="164"/>
  <c r="H31" i="160"/>
  <c r="H45" i="160"/>
  <c r="E32" i="160"/>
  <c r="J44" i="160"/>
  <c r="J30" i="160"/>
  <c r="N83" i="155"/>
  <c r="M6" i="153" s="1"/>
  <c r="M20" i="153" s="1"/>
  <c r="P22" i="160" s="1"/>
  <c r="P32" i="160" s="1"/>
  <c r="N79" i="155"/>
  <c r="F83" i="155"/>
  <c r="E6" i="153" s="1"/>
  <c r="E20" i="153" s="1"/>
  <c r="H22" i="160" s="1"/>
  <c r="H32" i="160" s="1"/>
  <c r="F79" i="155"/>
  <c r="I85" i="155"/>
  <c r="H4" i="153"/>
  <c r="O21" i="155"/>
  <c r="I62" i="155"/>
  <c r="I29" i="155"/>
  <c r="P23" i="161"/>
  <c r="N26" i="161"/>
  <c r="P26" i="161" s="1"/>
  <c r="E85" i="155"/>
  <c r="M83" i="155"/>
  <c r="L6" i="153" s="1"/>
  <c r="M79" i="155"/>
  <c r="E83" i="155"/>
  <c r="D6" i="153" s="1"/>
  <c r="D20" i="153" s="1"/>
  <c r="G22" i="160" s="1"/>
  <c r="G32" i="160" s="1"/>
  <c r="E79" i="155"/>
  <c r="K79" i="155"/>
  <c r="K82" i="155"/>
  <c r="J5" i="153" s="1"/>
  <c r="J19" i="153" s="1"/>
  <c r="M21" i="160" s="1"/>
  <c r="O70" i="155"/>
  <c r="O82" i="155" s="1"/>
  <c r="C79" i="155"/>
  <c r="O79" i="155" s="1"/>
  <c r="C82" i="155"/>
  <c r="B5" i="153" s="1"/>
  <c r="I57" i="155"/>
  <c r="H6" i="152" s="1"/>
  <c r="H52" i="152" s="1"/>
  <c r="I53" i="155"/>
  <c r="O37" i="155"/>
  <c r="O56" i="155" s="1"/>
  <c r="D56" i="155"/>
  <c r="C5" i="152" s="1"/>
  <c r="N5" i="152" s="1"/>
  <c r="I52" i="157"/>
  <c r="Q52" i="157"/>
  <c r="J17" i="152" s="1"/>
  <c r="J52" i="157"/>
  <c r="R52" i="157"/>
  <c r="K52" i="157"/>
  <c r="S52" i="157"/>
  <c r="L52" i="157"/>
  <c r="T52" i="157"/>
  <c r="M52" i="157"/>
  <c r="O52" i="157"/>
  <c r="H17" i="152" s="1"/>
  <c r="N21" i="157"/>
  <c r="J11" i="160"/>
  <c r="J28" i="160"/>
  <c r="E34" i="153"/>
  <c r="N14" i="153"/>
  <c r="I15" i="153"/>
  <c r="O44" i="160"/>
  <c r="O30" i="160"/>
  <c r="D85" i="155"/>
  <c r="C4" i="153"/>
  <c r="L83" i="155"/>
  <c r="K6" i="153" s="1"/>
  <c r="K20" i="153" s="1"/>
  <c r="N22" i="160" s="1"/>
  <c r="L79" i="155"/>
  <c r="O78" i="155"/>
  <c r="O83" i="155" s="1"/>
  <c r="D83" i="155"/>
  <c r="C6" i="153" s="1"/>
  <c r="C20" i="153" s="1"/>
  <c r="F22" i="160" s="1"/>
  <c r="F32" i="160" s="1"/>
  <c r="D79" i="155"/>
  <c r="O53" i="155"/>
  <c r="N53" i="155"/>
  <c r="F53" i="155"/>
  <c r="O45" i="155"/>
  <c r="O55" i="155" s="1"/>
  <c r="E49" i="156"/>
  <c r="D24" i="152" s="1"/>
  <c r="M49" i="156"/>
  <c r="L24" i="152" s="1"/>
  <c r="F49" i="156"/>
  <c r="E24" i="152" s="1"/>
  <c r="N49" i="156"/>
  <c r="M24" i="152" s="1"/>
  <c r="G49" i="156"/>
  <c r="F24" i="152" s="1"/>
  <c r="H49" i="156"/>
  <c r="G24" i="152" s="1"/>
  <c r="I49" i="156"/>
  <c r="C49" i="156"/>
  <c r="B24" i="152" s="1"/>
  <c r="K49" i="156"/>
  <c r="C43" i="156" a="1"/>
  <c r="J43" i="163"/>
  <c r="J44" i="163" s="1"/>
  <c r="J47" i="163" s="1"/>
  <c r="J54" i="163"/>
  <c r="F36" i="163"/>
  <c r="F37" i="163" s="1"/>
  <c r="F41" i="163" s="1"/>
  <c r="P9" i="163"/>
  <c r="P16" i="163" s="1"/>
  <c r="P21" i="163" s="1"/>
  <c r="P36" i="163" s="1"/>
  <c r="P37" i="163" s="1"/>
  <c r="P41" i="163" s="1"/>
  <c r="R37" i="164"/>
  <c r="J37" i="164"/>
  <c r="L16" i="163"/>
  <c r="L21" i="163" s="1"/>
  <c r="L36" i="163" s="1"/>
  <c r="L37" i="163" s="1"/>
  <c r="L40" i="163" s="1"/>
  <c r="L50" i="156"/>
  <c r="K25" i="152" s="1"/>
  <c r="D50" i="156"/>
  <c r="C25" i="152" s="1"/>
  <c r="K45" i="156"/>
  <c r="J25" i="152" s="1"/>
  <c r="H44" i="156"/>
  <c r="T59" i="157"/>
  <c r="M17" i="152" s="1"/>
  <c r="L59" i="157"/>
  <c r="E17" i="152" s="1"/>
  <c r="Q58" i="157"/>
  <c r="I58" i="157"/>
  <c r="B16" i="152" s="1"/>
  <c r="B18" i="152" s="1"/>
  <c r="N57" i="157"/>
  <c r="G15" i="152" s="1"/>
  <c r="G18" i="152" s="1"/>
  <c r="R51" i="157"/>
  <c r="K16" i="152" s="1"/>
  <c r="J51" i="157"/>
  <c r="T49" i="157"/>
  <c r="L49" i="157"/>
  <c r="Q48" i="157"/>
  <c r="J13" i="152" s="1"/>
  <c r="I48" i="157"/>
  <c r="N16" i="163"/>
  <c r="N21" i="163" s="1"/>
  <c r="N36" i="163" s="1"/>
  <c r="N37" i="163" s="1"/>
  <c r="F26" i="164"/>
  <c r="H53" i="155"/>
  <c r="K50" i="156"/>
  <c r="C50" i="156"/>
  <c r="B25" i="152" s="1"/>
  <c r="G44" i="156"/>
  <c r="S59" i="157"/>
  <c r="L17" i="152" s="1"/>
  <c r="K59" i="157"/>
  <c r="D17" i="152" s="1"/>
  <c r="M57" i="157"/>
  <c r="F15" i="152" s="1"/>
  <c r="F18" i="152" s="1"/>
  <c r="Q51" i="157"/>
  <c r="J16" i="152" s="1"/>
  <c r="I51" i="157"/>
  <c r="S49" i="157"/>
  <c r="K49" i="157"/>
  <c r="Q11" i="163"/>
  <c r="Q8" i="163"/>
  <c r="F34" i="164"/>
  <c r="K37" i="164"/>
  <c r="F32" i="164"/>
  <c r="N44" i="156"/>
  <c r="F44" i="156"/>
  <c r="R59" i="157"/>
  <c r="J59" i="157"/>
  <c r="C17" i="152" s="1"/>
  <c r="T57" i="157"/>
  <c r="M15" i="152" s="1"/>
  <c r="L57" i="157"/>
  <c r="E15" i="152" s="1"/>
  <c r="R49" i="157"/>
  <c r="K14" i="152" s="1"/>
  <c r="J49" i="157"/>
  <c r="Q29" i="163"/>
  <c r="Q33" i="163" s="1"/>
  <c r="H36" i="163"/>
  <c r="H37" i="163" s="1"/>
  <c r="H41" i="163" s="1"/>
  <c r="Q14" i="163"/>
  <c r="Q13" i="163"/>
  <c r="M44" i="156"/>
  <c r="E44" i="156"/>
  <c r="Q59" i="157"/>
  <c r="S57" i="157"/>
  <c r="L15" i="152" s="1"/>
  <c r="K57" i="157"/>
  <c r="D15" i="152" s="1"/>
  <c r="D18" i="152" s="1"/>
  <c r="Q49" i="157"/>
  <c r="J14" i="152" s="1"/>
  <c r="N14" i="152" s="1"/>
  <c r="P24" i="161"/>
  <c r="N27" i="161"/>
  <c r="P27" i="161" s="1"/>
  <c r="G54" i="163"/>
  <c r="G43" i="163"/>
  <c r="G44" i="163" s="1"/>
  <c r="Q15" i="163"/>
  <c r="F31" i="164"/>
  <c r="C48" i="156" a="1"/>
  <c r="L44" i="156"/>
  <c r="K24" i="152" s="1"/>
  <c r="R57" i="157"/>
  <c r="P10" i="161"/>
  <c r="N13" i="161"/>
  <c r="P13" i="161" s="1"/>
  <c r="F35" i="164"/>
  <c r="K16" i="163"/>
  <c r="K21" i="163" s="1"/>
  <c r="K36" i="163" s="1"/>
  <c r="K37" i="163" s="1"/>
  <c r="K40" i="163" s="1"/>
  <c r="J33" i="160" l="1"/>
  <c r="J24" i="160"/>
  <c r="H18" i="152"/>
  <c r="H47" i="152" s="1"/>
  <c r="I46" i="152"/>
  <c r="O23" i="160"/>
  <c r="O33" i="160" s="1"/>
  <c r="L34" i="153"/>
  <c r="G22" i="153"/>
  <c r="G33" i="153" s="1"/>
  <c r="F9" i="152"/>
  <c r="J9" i="150"/>
  <c r="J11" i="150" s="1"/>
  <c r="M56" i="163" s="1"/>
  <c r="N15" i="153"/>
  <c r="E4" i="150"/>
  <c r="E6" i="150" s="1"/>
  <c r="E4" i="149" s="1"/>
  <c r="M18" i="152"/>
  <c r="G30" i="160"/>
  <c r="L9" i="150"/>
  <c r="L11" i="150" s="1"/>
  <c r="O56" i="163" s="1"/>
  <c r="D9" i="150"/>
  <c r="D11" i="150" s="1"/>
  <c r="G56" i="163" s="1"/>
  <c r="E9" i="150"/>
  <c r="E11" i="150" s="1"/>
  <c r="H56" i="163" s="1"/>
  <c r="C4" i="150"/>
  <c r="C6" i="150" s="1"/>
  <c r="C4" i="149" s="1"/>
  <c r="G34" i="153"/>
  <c r="M47" i="152"/>
  <c r="M46" i="152"/>
  <c r="H46" i="152"/>
  <c r="J48" i="156"/>
  <c r="C48" i="156"/>
  <c r="B23" i="152" s="1"/>
  <c r="K48" i="156"/>
  <c r="D48" i="156"/>
  <c r="C23" i="152" s="1"/>
  <c r="C26" i="152" s="1"/>
  <c r="L48" i="156"/>
  <c r="E48" i="156"/>
  <c r="D23" i="152" s="1"/>
  <c r="D26" i="152" s="1"/>
  <c r="M48" i="156"/>
  <c r="L23" i="152" s="1"/>
  <c r="L26" i="152" s="1"/>
  <c r="F48" i="156"/>
  <c r="E23" i="152" s="1"/>
  <c r="E26" i="152" s="1"/>
  <c r="N48" i="156"/>
  <c r="M23" i="152" s="1"/>
  <c r="M26" i="152" s="1"/>
  <c r="H48" i="156"/>
  <c r="G23" i="152" s="1"/>
  <c r="G26" i="152" s="1"/>
  <c r="G48" i="156"/>
  <c r="F23" i="152" s="1"/>
  <c r="F26" i="152" s="1"/>
  <c r="F28" i="152" s="1"/>
  <c r="F31" i="152" s="1"/>
  <c r="F32" i="152" s="1"/>
  <c r="F34" i="152" s="1"/>
  <c r="F5" i="149" s="1"/>
  <c r="I48" i="156"/>
  <c r="Q16" i="163"/>
  <c r="Q21" i="163" s="1"/>
  <c r="Q36" i="163" s="1"/>
  <c r="Q37" i="163" s="1"/>
  <c r="J18" i="152"/>
  <c r="N17" i="152"/>
  <c r="P54" i="163"/>
  <c r="P43" i="163"/>
  <c r="P44" i="163" s="1"/>
  <c r="C18" i="153"/>
  <c r="C8" i="153"/>
  <c r="J8" i="153"/>
  <c r="J18" i="153"/>
  <c r="I20" i="160"/>
  <c r="F22" i="153"/>
  <c r="F33" i="153" s="1"/>
  <c r="B46" i="152"/>
  <c r="B47" i="152"/>
  <c r="O7" i="153"/>
  <c r="N21" i="153"/>
  <c r="N15" i="152"/>
  <c r="K9" i="150"/>
  <c r="K11" i="150" s="1"/>
  <c r="N56" i="163" s="1"/>
  <c r="N25" i="152"/>
  <c r="F43" i="163"/>
  <c r="F44" i="163" s="1"/>
  <c r="F54" i="163"/>
  <c r="K17" i="152"/>
  <c r="K18" i="152" s="1"/>
  <c r="B19" i="153"/>
  <c r="E21" i="160" s="1"/>
  <c r="N5" i="153"/>
  <c r="N19" i="153" s="1"/>
  <c r="L20" i="153"/>
  <c r="L8" i="153"/>
  <c r="K18" i="153"/>
  <c r="K8" i="153"/>
  <c r="K85" i="155"/>
  <c r="K41" i="160"/>
  <c r="H9" i="152"/>
  <c r="F4" i="150"/>
  <c r="F6" i="150" s="1"/>
  <c r="F4" i="149" s="1"/>
  <c r="H20" i="160"/>
  <c r="E22" i="153"/>
  <c r="E33" i="153" s="1"/>
  <c r="I58" i="152"/>
  <c r="I48" i="152"/>
  <c r="I49" i="152" s="1"/>
  <c r="K43" i="163"/>
  <c r="K54" i="163"/>
  <c r="N6" i="153"/>
  <c r="N20" i="153" s="1"/>
  <c r="H8" i="153"/>
  <c r="H18" i="153"/>
  <c r="O45" i="160"/>
  <c r="O48" i="160" s="1"/>
  <c r="O31" i="160"/>
  <c r="G28" i="152"/>
  <c r="G31" i="152" s="1"/>
  <c r="G32" i="152" s="1"/>
  <c r="G34" i="152" s="1"/>
  <c r="G5" i="149" s="1"/>
  <c r="G47" i="152"/>
  <c r="G46" i="152"/>
  <c r="J4" i="150"/>
  <c r="J6" i="150" s="1"/>
  <c r="J4" i="149" s="1"/>
  <c r="L18" i="152"/>
  <c r="O16" i="163"/>
  <c r="O21" i="163" s="1"/>
  <c r="O36" i="163" s="1"/>
  <c r="O37" i="163" s="1"/>
  <c r="O41" i="163" s="1"/>
  <c r="M45" i="160"/>
  <c r="M31" i="160"/>
  <c r="O85" i="155"/>
  <c r="F37" i="164"/>
  <c r="N29" i="153"/>
  <c r="H4" i="150"/>
  <c r="H6" i="150" s="1"/>
  <c r="H4" i="149" s="1"/>
  <c r="C18" i="152"/>
  <c r="K4" i="150"/>
  <c r="K6" i="150" s="1"/>
  <c r="K4" i="149" s="1"/>
  <c r="M9" i="150"/>
  <c r="M11" i="150" s="1"/>
  <c r="P56" i="163" s="1"/>
  <c r="G4" i="150"/>
  <c r="G6" i="150" s="1"/>
  <c r="G4" i="149" s="1"/>
  <c r="H54" i="163"/>
  <c r="H43" i="163"/>
  <c r="H44" i="163" s="1"/>
  <c r="E44" i="163"/>
  <c r="B6" i="150"/>
  <c r="D46" i="152"/>
  <c r="D47" i="152"/>
  <c r="F46" i="152"/>
  <c r="F47" i="152"/>
  <c r="N40" i="163"/>
  <c r="N41" i="163"/>
  <c r="Q41" i="163" s="1"/>
  <c r="N16" i="152"/>
  <c r="L43" i="163"/>
  <c r="L44" i="163" s="1"/>
  <c r="L54" i="163"/>
  <c r="I43" i="156"/>
  <c r="H23" i="152" s="1"/>
  <c r="H26" i="152" s="1"/>
  <c r="H28" i="152" s="1"/>
  <c r="H31" i="152" s="1"/>
  <c r="H32" i="152" s="1"/>
  <c r="H34" i="152" s="1"/>
  <c r="H5" i="149" s="1"/>
  <c r="J43" i="156"/>
  <c r="I23" i="152" s="1"/>
  <c r="I26" i="152" s="1"/>
  <c r="C43" i="156"/>
  <c r="K43" i="156"/>
  <c r="J23" i="152" s="1"/>
  <c r="J26" i="152" s="1"/>
  <c r="D43" i="156"/>
  <c r="L43" i="156"/>
  <c r="E43" i="156"/>
  <c r="M43" i="156"/>
  <c r="G43" i="156"/>
  <c r="F43" i="156"/>
  <c r="H43" i="156"/>
  <c r="N43" i="156"/>
  <c r="C9" i="152"/>
  <c r="C52" i="152"/>
  <c r="N52" i="152" s="1"/>
  <c r="J85" i="155"/>
  <c r="I4" i="153"/>
  <c r="N33" i="152"/>
  <c r="E23" i="160"/>
  <c r="B34" i="153"/>
  <c r="N85" i="155"/>
  <c r="E18" i="152"/>
  <c r="O5" i="152"/>
  <c r="G21" i="160"/>
  <c r="D22" i="153"/>
  <c r="D33" i="153" s="1"/>
  <c r="I4" i="150"/>
  <c r="I6" i="150" s="1"/>
  <c r="I4" i="149" s="1"/>
  <c r="B8" i="153"/>
  <c r="B18" i="153"/>
  <c r="M18" i="153"/>
  <c r="M8" i="153"/>
  <c r="I9" i="150"/>
  <c r="I11" i="150" s="1"/>
  <c r="L56" i="163" s="1"/>
  <c r="F9" i="150"/>
  <c r="F11" i="150" s="1"/>
  <c r="I56" i="163" s="1"/>
  <c r="G9" i="150"/>
  <c r="G11" i="150" s="1"/>
  <c r="J56" i="163" s="1"/>
  <c r="H9" i="150"/>
  <c r="H11" i="150" s="1"/>
  <c r="K56" i="163" s="1"/>
  <c r="N24" i="152"/>
  <c r="O4" i="152"/>
  <c r="N39" i="160"/>
  <c r="N41" i="160" s="1"/>
  <c r="N32" i="160"/>
  <c r="J31" i="160"/>
  <c r="J34" i="160" s="1"/>
  <c r="J45" i="160"/>
  <c r="J48" i="160" s="1"/>
  <c r="M43" i="163"/>
  <c r="M44" i="163" s="1"/>
  <c r="M54" i="163"/>
  <c r="D8" i="153"/>
  <c r="N13" i="152"/>
  <c r="F45" i="160"/>
  <c r="F31" i="160"/>
  <c r="C85" i="155"/>
  <c r="B11" i="150"/>
  <c r="N6" i="152"/>
  <c r="O6" i="152" s="1"/>
  <c r="M4" i="150"/>
  <c r="M6" i="150" s="1"/>
  <c r="M4" i="149" s="1"/>
  <c r="Q30" i="83"/>
  <c r="Q29" i="83"/>
  <c r="O5" i="153" l="1"/>
  <c r="Q39" i="160"/>
  <c r="N34" i="153"/>
  <c r="N4" i="150"/>
  <c r="J35" i="160"/>
  <c r="J50" i="160"/>
  <c r="O22" i="160"/>
  <c r="L22" i="153"/>
  <c r="L33" i="153" s="1"/>
  <c r="E33" i="160"/>
  <c r="Q33" i="160" s="1"/>
  <c r="Q23" i="160"/>
  <c r="G48" i="152"/>
  <c r="G49" i="152" s="1"/>
  <c r="G58" i="152"/>
  <c r="I30" i="160"/>
  <c r="I34" i="160" s="1"/>
  <c r="I24" i="160"/>
  <c r="I44" i="160"/>
  <c r="I48" i="160" s="1"/>
  <c r="J46" i="152"/>
  <c r="J28" i="152"/>
  <c r="J31" i="152" s="1"/>
  <c r="J32" i="152" s="1"/>
  <c r="J34" i="152" s="1"/>
  <c r="J5" i="149" s="1"/>
  <c r="J47" i="152"/>
  <c r="D54" i="152"/>
  <c r="D53" i="152"/>
  <c r="G45" i="160"/>
  <c r="G48" i="160" s="1"/>
  <c r="G31" i="160"/>
  <c r="G34" i="160" s="1"/>
  <c r="G24" i="160"/>
  <c r="I18" i="153"/>
  <c r="I8" i="153"/>
  <c r="H54" i="152"/>
  <c r="H53" i="152"/>
  <c r="H24" i="160"/>
  <c r="H30" i="160"/>
  <c r="H34" i="160" s="1"/>
  <c r="H44" i="160"/>
  <c r="H48" i="160" s="1"/>
  <c r="Q41" i="160"/>
  <c r="C53" i="152"/>
  <c r="C54" i="152"/>
  <c r="J53" i="152"/>
  <c r="J54" i="152"/>
  <c r="L54" i="152"/>
  <c r="L53" i="152"/>
  <c r="F48" i="152"/>
  <c r="F49" i="152" s="1"/>
  <c r="F58" i="152"/>
  <c r="N18" i="152"/>
  <c r="D48" i="152"/>
  <c r="D49" i="152" s="1"/>
  <c r="D58" i="152"/>
  <c r="O54" i="163"/>
  <c r="O43" i="163"/>
  <c r="O44" i="163" s="1"/>
  <c r="B58" i="152"/>
  <c r="B48" i="152"/>
  <c r="F54" i="152"/>
  <c r="F53" i="152"/>
  <c r="E56" i="163"/>
  <c r="Q56" i="163" s="1"/>
  <c r="N11" i="150"/>
  <c r="N43" i="163"/>
  <c r="N44" i="163" s="1"/>
  <c r="N54" i="163"/>
  <c r="H48" i="152"/>
  <c r="H49" i="152" s="1"/>
  <c r="H58" i="152"/>
  <c r="I53" i="152"/>
  <c r="I54" i="152"/>
  <c r="I28" i="152"/>
  <c r="I31" i="152" s="1"/>
  <c r="I32" i="152" s="1"/>
  <c r="I34" i="152" s="1"/>
  <c r="I5" i="149" s="1"/>
  <c r="E45" i="160"/>
  <c r="Q45" i="160" s="1"/>
  <c r="Q21" i="160"/>
  <c r="E31" i="160"/>
  <c r="Q31" i="160" s="1"/>
  <c r="P20" i="160"/>
  <c r="M22" i="153"/>
  <c r="M33" i="153" s="1"/>
  <c r="E47" i="152"/>
  <c r="E28" i="152"/>
  <c r="E31" i="152" s="1"/>
  <c r="E32" i="152" s="1"/>
  <c r="E34" i="152" s="1"/>
  <c r="E5" i="149" s="1"/>
  <c r="E46" i="152"/>
  <c r="L28" i="152"/>
  <c r="L31" i="152" s="1"/>
  <c r="L32" i="152" s="1"/>
  <c r="L34" i="152" s="1"/>
  <c r="L5" i="149" s="1"/>
  <c r="L46" i="152"/>
  <c r="L47" i="152"/>
  <c r="Q40" i="163"/>
  <c r="Q43" i="163" s="1"/>
  <c r="F20" i="160"/>
  <c r="C22" i="153"/>
  <c r="C33" i="153" s="1"/>
  <c r="G54" i="152"/>
  <c r="G53" i="152"/>
  <c r="B26" i="152"/>
  <c r="K46" i="152"/>
  <c r="K47" i="152"/>
  <c r="E20" i="160"/>
  <c r="B22" i="153"/>
  <c r="B33" i="153" s="1"/>
  <c r="K23" i="152"/>
  <c r="K26" i="152" s="1"/>
  <c r="K28" i="152" s="1"/>
  <c r="K31" i="152" s="1"/>
  <c r="K32" i="152" s="1"/>
  <c r="K34" i="152" s="1"/>
  <c r="K5" i="149" s="1"/>
  <c r="D28" i="152"/>
  <c r="D31" i="152" s="1"/>
  <c r="D32" i="152" s="1"/>
  <c r="D34" i="152" s="1"/>
  <c r="D5" i="149" s="1"/>
  <c r="K20" i="160"/>
  <c r="H22" i="153"/>
  <c r="H33" i="153" s="1"/>
  <c r="K44" i="163"/>
  <c r="K47" i="163" s="1"/>
  <c r="L47" i="163" s="1"/>
  <c r="M47" i="163" s="1"/>
  <c r="K46" i="163"/>
  <c r="N9" i="150"/>
  <c r="N20" i="160"/>
  <c r="K22" i="153"/>
  <c r="K33" i="153" s="1"/>
  <c r="M53" i="152"/>
  <c r="M54" i="152"/>
  <c r="M28" i="152"/>
  <c r="M31" i="152" s="1"/>
  <c r="M32" i="152" s="1"/>
  <c r="M34" i="152" s="1"/>
  <c r="M5" i="149" s="1"/>
  <c r="C46" i="152"/>
  <c r="C47" i="152"/>
  <c r="C28" i="152"/>
  <c r="C31" i="152" s="1"/>
  <c r="C32" i="152" s="1"/>
  <c r="C34" i="152" s="1"/>
  <c r="C5" i="149" s="1"/>
  <c r="M20" i="160"/>
  <c r="J22" i="153"/>
  <c r="J33" i="153" s="1"/>
  <c r="N4" i="153"/>
  <c r="O6" i="153"/>
  <c r="N6" i="150"/>
  <c r="B4" i="149"/>
  <c r="N9" i="152"/>
  <c r="E53" i="152"/>
  <c r="E54" i="152"/>
  <c r="M58" i="152"/>
  <c r="M48" i="152"/>
  <c r="M49" i="152" s="1"/>
  <c r="L17" i="83"/>
  <c r="L23" i="83"/>
  <c r="L22" i="83"/>
  <c r="L21" i="83"/>
  <c r="L16" i="83"/>
  <c r="L15" i="83"/>
  <c r="N46" i="152" l="1"/>
  <c r="N4" i="149"/>
  <c r="K85" i="163"/>
  <c r="L46" i="163"/>
  <c r="N47" i="163"/>
  <c r="O47" i="163" s="1"/>
  <c r="P47" i="163" s="1"/>
  <c r="E47" i="163" s="1"/>
  <c r="F47" i="163" s="1"/>
  <c r="G47" i="163" s="1"/>
  <c r="H47" i="163" s="1"/>
  <c r="I47" i="163" s="1"/>
  <c r="L59" i="152"/>
  <c r="L55" i="152"/>
  <c r="L56" i="152" s="1"/>
  <c r="I35" i="160"/>
  <c r="I50" i="160"/>
  <c r="B54" i="152"/>
  <c r="B53" i="152"/>
  <c r="B28" i="152"/>
  <c r="G55" i="152"/>
  <c r="G56" i="152" s="1"/>
  <c r="G59" i="152"/>
  <c r="G60" i="152" s="1"/>
  <c r="G35" i="152" s="1"/>
  <c r="M59" i="152"/>
  <c r="M55" i="152"/>
  <c r="M56" i="152" s="1"/>
  <c r="K58" i="152"/>
  <c r="K48" i="152"/>
  <c r="K49" i="152" s="1"/>
  <c r="F24" i="160"/>
  <c r="F44" i="160"/>
  <c r="F48" i="160" s="1"/>
  <c r="F30" i="160"/>
  <c r="F34" i="160" s="1"/>
  <c r="I59" i="152"/>
  <c r="I60" i="152" s="1"/>
  <c r="I35" i="152" s="1"/>
  <c r="I55" i="152"/>
  <c r="I56" i="152" s="1"/>
  <c r="J55" i="152"/>
  <c r="J56" i="152" s="1"/>
  <c r="J59" i="152"/>
  <c r="N24" i="160"/>
  <c r="N44" i="160"/>
  <c r="N48" i="160" s="1"/>
  <c r="N30" i="160"/>
  <c r="N34" i="160" s="1"/>
  <c r="I22" i="153"/>
  <c r="I33" i="153" s="1"/>
  <c r="N33" i="153" s="1"/>
  <c r="L38" i="153" s="1"/>
  <c r="L20" i="160"/>
  <c r="Q20" i="160" s="1"/>
  <c r="C48" i="152"/>
  <c r="C49" i="152" s="1"/>
  <c r="C58" i="152"/>
  <c r="G35" i="160"/>
  <c r="G50" i="160"/>
  <c r="M60" i="152"/>
  <c r="M35" i="152" s="1"/>
  <c r="K44" i="160"/>
  <c r="K48" i="160" s="1"/>
  <c r="K30" i="160"/>
  <c r="K34" i="160" s="1"/>
  <c r="K24" i="160"/>
  <c r="E58" i="152"/>
  <c r="E60" i="152" s="1"/>
  <c r="E35" i="152" s="1"/>
  <c r="E48" i="152"/>
  <c r="E49" i="152" s="1"/>
  <c r="F55" i="152"/>
  <c r="F56" i="152" s="1"/>
  <c r="F59" i="152"/>
  <c r="D55" i="152"/>
  <c r="D56" i="152" s="1"/>
  <c r="D59" i="152"/>
  <c r="D60" i="152" s="1"/>
  <c r="D35" i="152" s="1"/>
  <c r="O32" i="160"/>
  <c r="Q22" i="160"/>
  <c r="O24" i="160"/>
  <c r="F60" i="152"/>
  <c r="F35" i="152" s="1"/>
  <c r="E55" i="152"/>
  <c r="E56" i="152" s="1"/>
  <c r="E59" i="152"/>
  <c r="Q46" i="163"/>
  <c r="Q44" i="163"/>
  <c r="Q47" i="163" s="1"/>
  <c r="B49" i="152"/>
  <c r="C55" i="152"/>
  <c r="C56" i="152" s="1"/>
  <c r="C59" i="152"/>
  <c r="H55" i="152"/>
  <c r="H56" i="152" s="1"/>
  <c r="H59" i="152"/>
  <c r="H60" i="152" s="1"/>
  <c r="H35" i="152" s="1"/>
  <c r="J58" i="152"/>
  <c r="J48" i="152"/>
  <c r="J49" i="152" s="1"/>
  <c r="G26" i="153"/>
  <c r="G32" i="153" s="1"/>
  <c r="G35" i="153" s="1"/>
  <c r="G6" i="149" s="1"/>
  <c r="G8" i="149" s="1"/>
  <c r="J51" i="160"/>
  <c r="Q54" i="163"/>
  <c r="E24" i="160"/>
  <c r="E30" i="160"/>
  <c r="E44" i="160"/>
  <c r="H35" i="160"/>
  <c r="H50" i="160"/>
  <c r="N8" i="153"/>
  <c r="N18" i="153"/>
  <c r="N22" i="153" s="1"/>
  <c r="O4" i="153"/>
  <c r="O8" i="153" s="1"/>
  <c r="M24" i="160"/>
  <c r="M30" i="160"/>
  <c r="M34" i="160" s="1"/>
  <c r="M44" i="160"/>
  <c r="M48" i="160" s="1"/>
  <c r="K53" i="152"/>
  <c r="K54" i="152"/>
  <c r="N23" i="152"/>
  <c r="N26" i="152" s="1"/>
  <c r="N54" i="152" s="1"/>
  <c r="L48" i="152"/>
  <c r="L49" i="152" s="1"/>
  <c r="L58" i="152"/>
  <c r="P24" i="160"/>
  <c r="P44" i="160"/>
  <c r="P48" i="160" s="1"/>
  <c r="P30" i="160"/>
  <c r="P34" i="160" s="1"/>
  <c r="N47" i="152"/>
  <c r="N28" i="152"/>
  <c r="C40" i="152" s="1"/>
  <c r="E25" i="146"/>
  <c r="N53" i="152" l="1"/>
  <c r="C60" i="152"/>
  <c r="C35" i="152" s="1"/>
  <c r="L60" i="152"/>
  <c r="L35" i="152" s="1"/>
  <c r="N49" i="152"/>
  <c r="G40" i="152"/>
  <c r="B55" i="152"/>
  <c r="B59" i="152"/>
  <c r="J40" i="152"/>
  <c r="O34" i="160"/>
  <c r="Q32" i="160"/>
  <c r="L24" i="160"/>
  <c r="Q24" i="160" s="1"/>
  <c r="L44" i="160"/>
  <c r="L48" i="160" s="1"/>
  <c r="L30" i="160"/>
  <c r="L34" i="160" s="1"/>
  <c r="E34" i="160"/>
  <c r="K35" i="160"/>
  <c r="K50" i="160"/>
  <c r="E48" i="160"/>
  <c r="Q48" i="160" s="1"/>
  <c r="Q44" i="160"/>
  <c r="C14" i="149"/>
  <c r="G38" i="153"/>
  <c r="J38" i="153"/>
  <c r="C38" i="153"/>
  <c r="M50" i="160"/>
  <c r="M35" i="160"/>
  <c r="O4" i="149"/>
  <c r="N35" i="160"/>
  <c r="N50" i="160"/>
  <c r="M46" i="163"/>
  <c r="L85" i="163"/>
  <c r="I51" i="160"/>
  <c r="F26" i="153"/>
  <c r="F32" i="153" s="1"/>
  <c r="F35" i="153" s="1"/>
  <c r="F6" i="149" s="1"/>
  <c r="F8" i="149" s="1"/>
  <c r="H51" i="160"/>
  <c r="E26" i="153"/>
  <c r="E32" i="153" s="1"/>
  <c r="E35" i="153" s="1"/>
  <c r="E6" i="149" s="1"/>
  <c r="E8" i="149" s="1"/>
  <c r="F35" i="160"/>
  <c r="F50" i="160"/>
  <c r="J55" i="163"/>
  <c r="J57" i="163" s="1"/>
  <c r="G25" i="149"/>
  <c r="K55" i="152"/>
  <c r="K56" i="152" s="1"/>
  <c r="K59" i="152"/>
  <c r="K60" i="152" s="1"/>
  <c r="K35" i="152" s="1"/>
  <c r="J60" i="152"/>
  <c r="J35" i="152" s="1"/>
  <c r="N58" i="152"/>
  <c r="P35" i="160"/>
  <c r="P50" i="160"/>
  <c r="N48" i="152"/>
  <c r="G51" i="160"/>
  <c r="D26" i="153"/>
  <c r="D32" i="153" s="1"/>
  <c r="D35" i="153" s="1"/>
  <c r="D6" i="149" s="1"/>
  <c r="D8" i="149" s="1"/>
  <c r="B31" i="152"/>
  <c r="N31" i="152" s="1"/>
  <c r="N32" i="152" s="1"/>
  <c r="B32" i="152"/>
  <c r="B34" i="152" s="1"/>
  <c r="J59" i="146"/>
  <c r="H59" i="146"/>
  <c r="J58" i="146"/>
  <c r="H58" i="146"/>
  <c r="J57" i="146"/>
  <c r="H57" i="146"/>
  <c r="J25" i="146"/>
  <c r="H25" i="146"/>
  <c r="J21" i="146"/>
  <c r="H21" i="146"/>
  <c r="J20" i="146"/>
  <c r="H20" i="146"/>
  <c r="J19" i="146"/>
  <c r="H19" i="146"/>
  <c r="J18" i="146"/>
  <c r="H18" i="146"/>
  <c r="J17" i="146"/>
  <c r="H17" i="146"/>
  <c r="J16" i="146"/>
  <c r="H16" i="146"/>
  <c r="J15" i="146"/>
  <c r="H15" i="146"/>
  <c r="D29" i="126"/>
  <c r="H14" i="146"/>
  <c r="J14" i="146"/>
  <c r="A14" i="146"/>
  <c r="A15" i="146" s="1"/>
  <c r="A16" i="146" s="1"/>
  <c r="A17" i="146" s="1"/>
  <c r="A18" i="146" s="1"/>
  <c r="A19" i="146" s="1"/>
  <c r="A20" i="146" s="1"/>
  <c r="A21" i="146" s="1"/>
  <c r="A22" i="146" s="1"/>
  <c r="A23" i="146" s="1"/>
  <c r="A24" i="146" s="1"/>
  <c r="A25" i="146" s="1"/>
  <c r="A57" i="146" s="1"/>
  <c r="A58" i="146" s="1"/>
  <c r="A59" i="146" s="1"/>
  <c r="A60" i="146" s="1"/>
  <c r="A61" i="146" s="1"/>
  <c r="A62" i="146" s="1"/>
  <c r="A63" i="146" s="1"/>
  <c r="A64" i="146" s="1"/>
  <c r="A65" i="146" s="1"/>
  <c r="A66" i="146" s="1"/>
  <c r="A5" i="146"/>
  <c r="A4" i="146"/>
  <c r="A2" i="146"/>
  <c r="E59" i="146" l="1"/>
  <c r="O35" i="160"/>
  <c r="O50" i="160"/>
  <c r="I55" i="163"/>
  <c r="I57" i="163" s="1"/>
  <c r="F25" i="149"/>
  <c r="K51" i="160"/>
  <c r="H26" i="153"/>
  <c r="H32" i="153" s="1"/>
  <c r="H35" i="153" s="1"/>
  <c r="H6" i="149" s="1"/>
  <c r="H8" i="149" s="1"/>
  <c r="P51" i="160"/>
  <c r="M26" i="153"/>
  <c r="M32" i="153" s="1"/>
  <c r="M35" i="153" s="1"/>
  <c r="M6" i="149" s="1"/>
  <c r="M8" i="149" s="1"/>
  <c r="P55" i="163" s="1"/>
  <c r="P57" i="163" s="1"/>
  <c r="N46" i="163"/>
  <c r="M85" i="163"/>
  <c r="F51" i="160"/>
  <c r="C26" i="153"/>
  <c r="C32" i="153" s="1"/>
  <c r="C35" i="153" s="1"/>
  <c r="C6" i="149" s="1"/>
  <c r="C8" i="149" s="1"/>
  <c r="N51" i="160"/>
  <c r="K26" i="153"/>
  <c r="K32" i="153" s="1"/>
  <c r="K35" i="153" s="1"/>
  <c r="K6" i="149" s="1"/>
  <c r="K8" i="149" s="1"/>
  <c r="N55" i="163" s="1"/>
  <c r="N57" i="163" s="1"/>
  <c r="Q34" i="160"/>
  <c r="E50" i="160"/>
  <c r="E35" i="160"/>
  <c r="N59" i="152"/>
  <c r="B60" i="152"/>
  <c r="C19" i="149"/>
  <c r="Q30" i="160"/>
  <c r="B56" i="152"/>
  <c r="N56" i="152" s="1"/>
  <c r="N55" i="152"/>
  <c r="G55" i="163"/>
  <c r="G57" i="163" s="1"/>
  <c r="D25" i="149"/>
  <c r="M51" i="160"/>
  <c r="J26" i="153"/>
  <c r="J32" i="153" s="1"/>
  <c r="J35" i="153" s="1"/>
  <c r="J6" i="149" s="1"/>
  <c r="J8" i="149" s="1"/>
  <c r="M55" i="163" s="1"/>
  <c r="M57" i="163" s="1"/>
  <c r="B5" i="149"/>
  <c r="N34" i="152"/>
  <c r="H55" i="163"/>
  <c r="H57" i="163" s="1"/>
  <c r="E25" i="149"/>
  <c r="L35" i="160"/>
  <c r="L50" i="160"/>
  <c r="J22" i="146"/>
  <c r="J60" i="146" s="1"/>
  <c r="H22" i="146"/>
  <c r="H60" i="146" s="1"/>
  <c r="L29" i="83"/>
  <c r="B8" i="144"/>
  <c r="B10" i="144" s="1"/>
  <c r="C8" i="144"/>
  <c r="C10" i="144" s="1"/>
  <c r="D8" i="144"/>
  <c r="D10" i="144"/>
  <c r="O51" i="160" l="1"/>
  <c r="L26" i="153"/>
  <c r="L32" i="153" s="1"/>
  <c r="L35" i="153" s="1"/>
  <c r="L6" i="149" s="1"/>
  <c r="L8" i="149" s="1"/>
  <c r="O55" i="163" s="1"/>
  <c r="O57" i="163" s="1"/>
  <c r="O46" i="163"/>
  <c r="N85" i="163"/>
  <c r="E51" i="160"/>
  <c r="Q50" i="160"/>
  <c r="Q51" i="160" s="1"/>
  <c r="B26" i="153"/>
  <c r="N5" i="149"/>
  <c r="O5" i="149" s="1"/>
  <c r="L51" i="160"/>
  <c r="I26" i="153"/>
  <c r="I32" i="153" s="1"/>
  <c r="I35" i="153" s="1"/>
  <c r="I6" i="149" s="1"/>
  <c r="I8" i="149" s="1"/>
  <c r="Q35" i="160"/>
  <c r="M40" i="152"/>
  <c r="K55" i="163"/>
  <c r="K57" i="163" s="1"/>
  <c r="K60" i="163" s="1"/>
  <c r="H25" i="149"/>
  <c r="F55" i="163"/>
  <c r="F57" i="163" s="1"/>
  <c r="C25" i="149"/>
  <c r="N60" i="152"/>
  <c r="N35" i="152" s="1"/>
  <c r="B35" i="152"/>
  <c r="T30" i="83"/>
  <c r="W30" i="83" s="1"/>
  <c r="T29" i="83"/>
  <c r="W29" i="83" s="1"/>
  <c r="T23" i="83"/>
  <c r="T22" i="83"/>
  <c r="T21" i="83"/>
  <c r="T16" i="83"/>
  <c r="T15" i="83"/>
  <c r="W15" i="83" l="1"/>
  <c r="W65" i="83" s="1"/>
  <c r="T65" i="83"/>
  <c r="W16" i="83"/>
  <c r="W66" i="83" s="1"/>
  <c r="T66" i="83"/>
  <c r="W21" i="83"/>
  <c r="W71" i="83" s="1"/>
  <c r="T71" i="83"/>
  <c r="W22" i="83"/>
  <c r="W72" i="83" s="1"/>
  <c r="T72" i="83"/>
  <c r="W23" i="83"/>
  <c r="W73" i="83" s="1"/>
  <c r="T73" i="83"/>
  <c r="N28" i="126"/>
  <c r="N29" i="126"/>
  <c r="Q59" i="146"/>
  <c r="N20" i="126"/>
  <c r="N72" i="126" s="1"/>
  <c r="N22" i="126"/>
  <c r="N74" i="126" s="1"/>
  <c r="N21" i="126"/>
  <c r="N73" i="126" s="1"/>
  <c r="N14" i="126"/>
  <c r="N66" i="126" s="1"/>
  <c r="N15" i="126"/>
  <c r="N67" i="126" s="1"/>
  <c r="O58" i="146"/>
  <c r="Q58" i="146"/>
  <c r="L55" i="163"/>
  <c r="L57" i="163" s="1"/>
  <c r="L60" i="163" s="1"/>
  <c r="I25" i="149"/>
  <c r="O85" i="163"/>
  <c r="P46" i="163"/>
  <c r="K63" i="163"/>
  <c r="K70" i="163" s="1"/>
  <c r="D14" i="149"/>
  <c r="B32" i="153"/>
  <c r="N26" i="153"/>
  <c r="R50" i="160"/>
  <c r="K64" i="163" l="1"/>
  <c r="O59" i="146"/>
  <c r="P58" i="146"/>
  <c r="P59" i="146"/>
  <c r="P21" i="146"/>
  <c r="P15" i="146"/>
  <c r="P14" i="146"/>
  <c r="M60" i="163"/>
  <c r="L63" i="163"/>
  <c r="L70" i="163" s="1"/>
  <c r="B35" i="153"/>
  <c r="B6" i="149" s="1"/>
  <c r="N32" i="153"/>
  <c r="N35" i="153" s="1"/>
  <c r="D19" i="149"/>
  <c r="K71" i="163"/>
  <c r="K68" i="163"/>
  <c r="P85" i="163"/>
  <c r="E46" i="163"/>
  <c r="K65" i="163"/>
  <c r="P16" i="146" l="1"/>
  <c r="P19" i="146"/>
  <c r="P20" i="146"/>
  <c r="K69" i="163"/>
  <c r="K72" i="163"/>
  <c r="K66" i="163"/>
  <c r="F46" i="163"/>
  <c r="E85" i="163"/>
  <c r="K87" i="163"/>
  <c r="K90" i="163"/>
  <c r="K73" i="163"/>
  <c r="N6" i="149"/>
  <c r="O6" i="149" s="1"/>
  <c r="B8" i="149"/>
  <c r="M64" i="163"/>
  <c r="N60" i="163"/>
  <c r="M63" i="163"/>
  <c r="M70" i="163" s="1"/>
  <c r="L64" i="163"/>
  <c r="M65" i="163" l="1"/>
  <c r="M69" i="163"/>
  <c r="M72" i="163"/>
  <c r="G46" i="163"/>
  <c r="F85" i="163"/>
  <c r="E55" i="163"/>
  <c r="B25" i="149"/>
  <c r="O60" i="163"/>
  <c r="N63" i="163"/>
  <c r="N70" i="163" s="1"/>
  <c r="M71" i="163"/>
  <c r="M68" i="163"/>
  <c r="L71" i="163"/>
  <c r="L68" i="163"/>
  <c r="L65" i="163"/>
  <c r="E14" i="149"/>
  <c r="N8" i="149"/>
  <c r="M66" i="163"/>
  <c r="N64" i="163" l="1"/>
  <c r="N25" i="149"/>
  <c r="I17" i="83"/>
  <c r="N71" i="163"/>
  <c r="N68" i="163"/>
  <c r="L69" i="163"/>
  <c r="M90" i="163" s="1"/>
  <c r="L72" i="163"/>
  <c r="L87" i="163"/>
  <c r="L90" i="163"/>
  <c r="L73" i="163"/>
  <c r="M87" i="163"/>
  <c r="M73" i="163"/>
  <c r="Q55" i="163"/>
  <c r="Q57" i="163" s="1"/>
  <c r="E57" i="163"/>
  <c r="O63" i="163"/>
  <c r="O70" i="163" s="1"/>
  <c r="P60" i="163"/>
  <c r="E19" i="149"/>
  <c r="N65" i="163"/>
  <c r="N66" i="163" s="1"/>
  <c r="G85" i="163"/>
  <c r="H46" i="163"/>
  <c r="L66" i="163"/>
  <c r="G24" i="83"/>
  <c r="G31" i="83" s="1"/>
  <c r="O64" i="163" l="1"/>
  <c r="E60" i="163"/>
  <c r="H85" i="163"/>
  <c r="I46" i="163"/>
  <c r="N72" i="163"/>
  <c r="N69" i="163"/>
  <c r="N90" i="163" s="1"/>
  <c r="O68" i="163"/>
  <c r="O71" i="163"/>
  <c r="O65" i="163"/>
  <c r="P63" i="163"/>
  <c r="P70" i="163" s="1"/>
  <c r="N87" i="163"/>
  <c r="N73" i="163"/>
  <c r="F60" i="163"/>
  <c r="E63" i="163"/>
  <c r="E70" i="163" s="1"/>
  <c r="I23" i="126"/>
  <c r="I30" i="126" s="1"/>
  <c r="G23" i="126"/>
  <c r="G30" i="126" s="1"/>
  <c r="A14" i="126"/>
  <c r="A15" i="126" s="1"/>
  <c r="A16" i="126" s="1"/>
  <c r="A18" i="126" s="1"/>
  <c r="A19" i="126" s="1"/>
  <c r="A20" i="126" s="1"/>
  <c r="A21" i="126" s="1"/>
  <c r="A22" i="126" s="1"/>
  <c r="A23" i="126" s="1"/>
  <c r="A24" i="126" s="1"/>
  <c r="A25" i="126" s="1"/>
  <c r="A26" i="126" s="1"/>
  <c r="A27" i="126" s="1"/>
  <c r="A28" i="126" s="1"/>
  <c r="A29" i="126" s="1"/>
  <c r="A30" i="126" s="1"/>
  <c r="A31" i="126" s="1"/>
  <c r="A32" i="126" s="1"/>
  <c r="A33" i="126" s="1"/>
  <c r="A34" i="126" s="1"/>
  <c r="A35" i="126" s="1"/>
  <c r="A36" i="126" s="1"/>
  <c r="A5" i="126"/>
  <c r="A4" i="126"/>
  <c r="A2" i="126"/>
  <c r="E64" i="163" l="1"/>
  <c r="O72" i="163"/>
  <c r="O69" i="163"/>
  <c r="E65" i="163"/>
  <c r="O90" i="163"/>
  <c r="O87" i="163"/>
  <c r="O73" i="163"/>
  <c r="O66" i="163"/>
  <c r="G60" i="163"/>
  <c r="F63" i="163"/>
  <c r="F70" i="163" s="1"/>
  <c r="P64" i="163"/>
  <c r="I85" i="163"/>
  <c r="J46" i="163"/>
  <c r="J85" i="163" s="1"/>
  <c r="E71" i="163"/>
  <c r="E68" i="163"/>
  <c r="E66" i="163"/>
  <c r="T27" i="83" l="1"/>
  <c r="W27" i="83" s="1"/>
  <c r="R24" i="83"/>
  <c r="R31" i="83" s="1"/>
  <c r="S24" i="83"/>
  <c r="S31" i="83" s="1"/>
  <c r="E69" i="163"/>
  <c r="E72" i="163"/>
  <c r="F64" i="163"/>
  <c r="P65" i="163"/>
  <c r="E87" i="163"/>
  <c r="E73" i="163"/>
  <c r="G63" i="163"/>
  <c r="G70" i="163" s="1"/>
  <c r="H60" i="163"/>
  <c r="P68" i="163"/>
  <c r="P71" i="163"/>
  <c r="L30" i="83"/>
  <c r="I30" i="83"/>
  <c r="E29" i="83"/>
  <c r="E28" i="83"/>
  <c r="G64" i="163" l="1"/>
  <c r="H28" i="83"/>
  <c r="H29" i="83"/>
  <c r="H27" i="83"/>
  <c r="N26" i="126"/>
  <c r="O25" i="146" s="1"/>
  <c r="G68" i="163"/>
  <c r="G71" i="163"/>
  <c r="P72" i="163"/>
  <c r="P69" i="163"/>
  <c r="E90" i="163" s="1"/>
  <c r="H63" i="163"/>
  <c r="H70" i="163" s="1"/>
  <c r="I60" i="163"/>
  <c r="F71" i="163"/>
  <c r="F68" i="163"/>
  <c r="G65" i="163"/>
  <c r="F65" i="163"/>
  <c r="P66" i="163"/>
  <c r="E23" i="83"/>
  <c r="E20" i="83"/>
  <c r="H64" i="163" l="1"/>
  <c r="H71" i="163" s="1"/>
  <c r="H23" i="83"/>
  <c r="L20" i="83"/>
  <c r="H22" i="83"/>
  <c r="H17" i="83"/>
  <c r="H21" i="83"/>
  <c r="H16" i="83"/>
  <c r="H20" i="83"/>
  <c r="H15" i="83"/>
  <c r="F72" i="163"/>
  <c r="F69" i="163"/>
  <c r="F87" i="163" s="1"/>
  <c r="I63" i="163"/>
  <c r="I70" i="163" s="1"/>
  <c r="J60" i="163"/>
  <c r="H68" i="163"/>
  <c r="G72" i="163"/>
  <c r="G69" i="163"/>
  <c r="P87" i="163"/>
  <c r="G87" i="163"/>
  <c r="P73" i="163"/>
  <c r="P90" i="163"/>
  <c r="G66" i="163"/>
  <c r="F66" i="163"/>
  <c r="J30" i="83"/>
  <c r="D28" i="126"/>
  <c r="D27" i="126"/>
  <c r="D22" i="126"/>
  <c r="F73" i="163" l="1"/>
  <c r="F90" i="163"/>
  <c r="G90" i="163"/>
  <c r="G73" i="163"/>
  <c r="H65" i="163"/>
  <c r="I64" i="163"/>
  <c r="I71" i="163" s="1"/>
  <c r="J20" i="83"/>
  <c r="F29" i="126"/>
  <c r="D19" i="126"/>
  <c r="H19" i="83"/>
  <c r="Q25" i="146"/>
  <c r="E58" i="146"/>
  <c r="E21" i="146"/>
  <c r="G59" i="146"/>
  <c r="H29" i="126"/>
  <c r="E29" i="126"/>
  <c r="E57" i="146"/>
  <c r="I68" i="163"/>
  <c r="J63" i="163"/>
  <c r="J70" i="163" s="1"/>
  <c r="J64" i="163"/>
  <c r="H72" i="163"/>
  <c r="H69" i="163"/>
  <c r="H66" i="163"/>
  <c r="H90" i="163"/>
  <c r="H87" i="163"/>
  <c r="H73" i="163"/>
  <c r="J29" i="83"/>
  <c r="J28" i="83"/>
  <c r="L28" i="83" s="1"/>
  <c r="J23" i="83"/>
  <c r="F24" i="83"/>
  <c r="F31" i="83" s="1"/>
  <c r="I65" i="163" l="1"/>
  <c r="I66" i="163"/>
  <c r="E18" i="146"/>
  <c r="F22" i="126"/>
  <c r="E22" i="126" s="1"/>
  <c r="F27" i="126"/>
  <c r="F28" i="126"/>
  <c r="E28" i="126" s="1"/>
  <c r="P25" i="146"/>
  <c r="G21" i="146"/>
  <c r="E27" i="126"/>
  <c r="F59" i="146"/>
  <c r="J29" i="126"/>
  <c r="I59" i="146"/>
  <c r="J65" i="163"/>
  <c r="J66" i="163" s="1"/>
  <c r="J71" i="163"/>
  <c r="J68" i="163"/>
  <c r="I72" i="163"/>
  <c r="I69" i="163"/>
  <c r="I90" i="163" s="1"/>
  <c r="I87" i="163"/>
  <c r="I73" i="163"/>
  <c r="F19" i="126"/>
  <c r="H22" i="126" l="1"/>
  <c r="H28" i="126"/>
  <c r="G58" i="146"/>
  <c r="G57" i="146"/>
  <c r="H27" i="126"/>
  <c r="I57" i="146" s="1"/>
  <c r="P39" i="146"/>
  <c r="P40" i="146"/>
  <c r="P46" i="146"/>
  <c r="P26" i="146"/>
  <c r="P44" i="146"/>
  <c r="P53" i="146"/>
  <c r="P37" i="146"/>
  <c r="P29" i="146"/>
  <c r="P43" i="146"/>
  <c r="P27" i="146"/>
  <c r="P42" i="146"/>
  <c r="P41" i="146"/>
  <c r="P48" i="146"/>
  <c r="P38" i="146"/>
  <c r="P47" i="146"/>
  <c r="P31" i="146"/>
  <c r="P54" i="146"/>
  <c r="P34" i="146"/>
  <c r="P52" i="146"/>
  <c r="P28" i="146"/>
  <c r="P45" i="146"/>
  <c r="P55" i="146"/>
  <c r="P51" i="146"/>
  <c r="P35" i="146"/>
  <c r="P50" i="146"/>
  <c r="P30" i="146"/>
  <c r="P33" i="146"/>
  <c r="P32" i="146"/>
  <c r="P36" i="146"/>
  <c r="P49" i="146"/>
  <c r="K59" i="146"/>
  <c r="F58" i="146"/>
  <c r="G18" i="146"/>
  <c r="I21" i="146"/>
  <c r="F21" i="146"/>
  <c r="F57" i="146"/>
  <c r="I58" i="146"/>
  <c r="J28" i="126"/>
  <c r="J72" i="163"/>
  <c r="Q72" i="163" s="1"/>
  <c r="J69" i="163"/>
  <c r="J87" i="163" s="1"/>
  <c r="J88" i="163" s="1"/>
  <c r="J22" i="126"/>
  <c r="E19" i="126"/>
  <c r="H19" i="126"/>
  <c r="J27" i="126" l="1"/>
  <c r="K58" i="146"/>
  <c r="I18" i="146"/>
  <c r="K21" i="146"/>
  <c r="G10" i="149"/>
  <c r="N10" i="149"/>
  <c r="I19" i="83" s="1"/>
  <c r="J73" i="163"/>
  <c r="Q69" i="163"/>
  <c r="Q73" i="163" s="1"/>
  <c r="J90" i="163"/>
  <c r="F18" i="146"/>
  <c r="J19" i="126"/>
  <c r="K57" i="146" l="1"/>
  <c r="K18" i="146"/>
  <c r="F14" i="149"/>
  <c r="N11" i="149"/>
  <c r="I32" i="86"/>
  <c r="F19" i="149" l="1"/>
  <c r="G14" i="149"/>
  <c r="G19" i="149" s="1"/>
  <c r="I35" i="86"/>
  <c r="I34" i="86"/>
  <c r="I33" i="86"/>
  <c r="B34" i="49"/>
  <c r="P57" i="146" l="1"/>
  <c r="I24" i="83"/>
  <c r="D26" i="126"/>
  <c r="I31" i="83" l="1"/>
  <c r="J27" i="83"/>
  <c r="E9" i="85"/>
  <c r="D9" i="85"/>
  <c r="C9" i="85"/>
  <c r="B9" i="85"/>
  <c r="F26" i="126" l="1"/>
  <c r="E9" i="84"/>
  <c r="D9" i="84"/>
  <c r="C9" i="84"/>
  <c r="B9" i="84"/>
  <c r="H26" i="126" l="1"/>
  <c r="G25" i="146"/>
  <c r="E26" i="126"/>
  <c r="L14" i="86"/>
  <c r="L30" i="86" s="1"/>
  <c r="K14" i="86"/>
  <c r="K30" i="86" s="1"/>
  <c r="J14" i="86"/>
  <c r="J30" i="86" s="1"/>
  <c r="I14" i="86"/>
  <c r="I30" i="86" s="1"/>
  <c r="H14" i="86"/>
  <c r="H30" i="86" s="1"/>
  <c r="G14" i="86"/>
  <c r="G30" i="86" s="1"/>
  <c r="F14" i="86"/>
  <c r="F30" i="86" s="1"/>
  <c r="E14" i="86"/>
  <c r="E30" i="86" s="1"/>
  <c r="D14" i="86"/>
  <c r="D30" i="86" s="1"/>
  <c r="C14" i="86"/>
  <c r="C30" i="86" s="1"/>
  <c r="B14" i="86"/>
  <c r="B30" i="86" s="1"/>
  <c r="L13" i="86"/>
  <c r="L29" i="86" s="1"/>
  <c r="K13" i="86"/>
  <c r="K29" i="86" s="1"/>
  <c r="J13" i="86"/>
  <c r="J29" i="86" s="1"/>
  <c r="I13" i="86"/>
  <c r="I29" i="86" s="1"/>
  <c r="H13" i="86"/>
  <c r="H29" i="86" s="1"/>
  <c r="G13" i="86"/>
  <c r="G29" i="86" s="1"/>
  <c r="F13" i="86"/>
  <c r="F29" i="86" s="1"/>
  <c r="E13" i="86"/>
  <c r="E29" i="86" s="1"/>
  <c r="D13" i="86"/>
  <c r="D29" i="86" s="1"/>
  <c r="C13" i="86"/>
  <c r="C29" i="86" s="1"/>
  <c r="B13" i="86"/>
  <c r="B29" i="86" s="1"/>
  <c r="L12" i="86"/>
  <c r="L28" i="86" s="1"/>
  <c r="K12" i="86"/>
  <c r="K28" i="86" s="1"/>
  <c r="J12" i="86"/>
  <c r="J28" i="86" s="1"/>
  <c r="I12" i="86"/>
  <c r="I28" i="86" s="1"/>
  <c r="H12" i="86"/>
  <c r="H28" i="86" s="1"/>
  <c r="G12" i="86"/>
  <c r="G28" i="86" s="1"/>
  <c r="F12" i="86"/>
  <c r="F28" i="86" s="1"/>
  <c r="E12" i="86"/>
  <c r="E28" i="86" s="1"/>
  <c r="D12" i="86"/>
  <c r="D28" i="86" s="1"/>
  <c r="C12" i="86"/>
  <c r="C28" i="86" s="1"/>
  <c r="B12" i="86"/>
  <c r="B28" i="86" s="1"/>
  <c r="L11" i="86"/>
  <c r="L27" i="86" s="1"/>
  <c r="K11" i="86"/>
  <c r="K27" i="86" s="1"/>
  <c r="J11" i="86"/>
  <c r="J27" i="86" s="1"/>
  <c r="I11" i="86"/>
  <c r="I27" i="86" s="1"/>
  <c r="H11" i="86"/>
  <c r="H27" i="86" s="1"/>
  <c r="G11" i="86"/>
  <c r="G27" i="86" s="1"/>
  <c r="F11" i="86"/>
  <c r="F27" i="86" s="1"/>
  <c r="E11" i="86"/>
  <c r="E27" i="86" s="1"/>
  <c r="D11" i="86"/>
  <c r="D27" i="86" s="1"/>
  <c r="C11" i="86"/>
  <c r="C27" i="86" s="1"/>
  <c r="B11" i="86"/>
  <c r="B27" i="86" s="1"/>
  <c r="L10" i="86"/>
  <c r="L26" i="86" s="1"/>
  <c r="K10" i="86"/>
  <c r="K26" i="86" s="1"/>
  <c r="J10" i="86"/>
  <c r="J26" i="86" s="1"/>
  <c r="I10" i="86"/>
  <c r="I26" i="86" s="1"/>
  <c r="H10" i="86"/>
  <c r="H26" i="86" s="1"/>
  <c r="G10" i="86"/>
  <c r="G26" i="86" s="1"/>
  <c r="F10" i="86"/>
  <c r="F26" i="86" s="1"/>
  <c r="E10" i="86"/>
  <c r="E26" i="86" s="1"/>
  <c r="D10" i="86"/>
  <c r="D26" i="86" s="1"/>
  <c r="C10" i="86"/>
  <c r="C26" i="86" s="1"/>
  <c r="B10" i="86"/>
  <c r="B26" i="86" s="1"/>
  <c r="L9" i="86"/>
  <c r="L25" i="86" s="1"/>
  <c r="K9" i="86"/>
  <c r="K25" i="86" s="1"/>
  <c r="J9" i="86"/>
  <c r="J25" i="86" s="1"/>
  <c r="I9" i="86"/>
  <c r="I25" i="86" s="1"/>
  <c r="H9" i="86"/>
  <c r="H25" i="86" s="1"/>
  <c r="G9" i="86"/>
  <c r="G25" i="86" s="1"/>
  <c r="F9" i="86"/>
  <c r="F25" i="86" s="1"/>
  <c r="E9" i="86"/>
  <c r="E25" i="86" s="1"/>
  <c r="D9" i="86"/>
  <c r="D25" i="86" s="1"/>
  <c r="C9" i="86"/>
  <c r="C25" i="86" s="1"/>
  <c r="B9" i="86"/>
  <c r="B25" i="86" s="1"/>
  <c r="L8" i="86"/>
  <c r="L24" i="86" s="1"/>
  <c r="K8" i="86"/>
  <c r="K24" i="86" s="1"/>
  <c r="J8" i="86"/>
  <c r="J24" i="86" s="1"/>
  <c r="I8" i="86"/>
  <c r="I24" i="86" s="1"/>
  <c r="H8" i="86"/>
  <c r="H24" i="86" s="1"/>
  <c r="G8" i="86"/>
  <c r="G24" i="86" s="1"/>
  <c r="F8" i="86"/>
  <c r="F24" i="86" s="1"/>
  <c r="E8" i="86"/>
  <c r="E24" i="86" s="1"/>
  <c r="D8" i="86"/>
  <c r="D24" i="86" s="1"/>
  <c r="C8" i="86"/>
  <c r="C24" i="86" s="1"/>
  <c r="B8" i="86"/>
  <c r="B24" i="86" s="1"/>
  <c r="L7" i="86"/>
  <c r="L15" i="86" s="1"/>
  <c r="L16" i="86" s="1"/>
  <c r="K7" i="86"/>
  <c r="K23" i="86" s="1"/>
  <c r="J7" i="86"/>
  <c r="J23" i="86" s="1"/>
  <c r="I7" i="86"/>
  <c r="I23" i="86" s="1"/>
  <c r="H7" i="86"/>
  <c r="H23" i="86" s="1"/>
  <c r="G7" i="86"/>
  <c r="G23" i="86" s="1"/>
  <c r="F7" i="86"/>
  <c r="F23" i="86" s="1"/>
  <c r="E7" i="86"/>
  <c r="E23" i="86" s="1"/>
  <c r="D7" i="86"/>
  <c r="D23" i="86" s="1"/>
  <c r="C7" i="86"/>
  <c r="C23" i="86" s="1"/>
  <c r="B7" i="86"/>
  <c r="B23" i="86" s="1"/>
  <c r="L6" i="86"/>
  <c r="L22" i="86" s="1"/>
  <c r="K6" i="86"/>
  <c r="K22" i="86" s="1"/>
  <c r="J6" i="86"/>
  <c r="J22" i="86" s="1"/>
  <c r="I6" i="86"/>
  <c r="I22" i="86" s="1"/>
  <c r="H6" i="86"/>
  <c r="H22" i="86" s="1"/>
  <c r="G6" i="86"/>
  <c r="G22" i="86" s="1"/>
  <c r="F6" i="86"/>
  <c r="F22" i="86" s="1"/>
  <c r="E6" i="86"/>
  <c r="E22" i="86" s="1"/>
  <c r="D6" i="86"/>
  <c r="D22" i="86" s="1"/>
  <c r="C6" i="86"/>
  <c r="C22" i="86" s="1"/>
  <c r="B6" i="86"/>
  <c r="B22" i="86" s="1"/>
  <c r="L5" i="86"/>
  <c r="L21" i="86" s="1"/>
  <c r="K5" i="86"/>
  <c r="K21" i="86" s="1"/>
  <c r="J5" i="86"/>
  <c r="J21" i="86" s="1"/>
  <c r="I5" i="86"/>
  <c r="I21" i="86" s="1"/>
  <c r="H5" i="86"/>
  <c r="H21" i="86" s="1"/>
  <c r="G5" i="86"/>
  <c r="G21" i="86" s="1"/>
  <c r="F5" i="86"/>
  <c r="F21" i="86" s="1"/>
  <c r="E5" i="86"/>
  <c r="E21" i="86" s="1"/>
  <c r="D5" i="86"/>
  <c r="D21" i="86" s="1"/>
  <c r="C5" i="86"/>
  <c r="C21" i="86" s="1"/>
  <c r="B5" i="86"/>
  <c r="B21" i="86" s="1"/>
  <c r="L4" i="86"/>
  <c r="L20" i="86" s="1"/>
  <c r="K4" i="86"/>
  <c r="K20" i="86" s="1"/>
  <c r="J4" i="86"/>
  <c r="J20" i="86" s="1"/>
  <c r="I4" i="86"/>
  <c r="I20" i="86" s="1"/>
  <c r="H4" i="86"/>
  <c r="H20" i="86" s="1"/>
  <c r="G4" i="86"/>
  <c r="G20" i="86" s="1"/>
  <c r="F4" i="86"/>
  <c r="F20" i="86" s="1"/>
  <c r="E4" i="86"/>
  <c r="E20" i="86" s="1"/>
  <c r="D4" i="86"/>
  <c r="D20" i="86" s="1"/>
  <c r="C4" i="86"/>
  <c r="C20" i="86" s="1"/>
  <c r="B4" i="86"/>
  <c r="B20" i="86" s="1"/>
  <c r="M3" i="86"/>
  <c r="M15" i="86" s="1"/>
  <c r="L3" i="86"/>
  <c r="L19" i="86" s="1"/>
  <c r="K3" i="86"/>
  <c r="K15" i="86" s="1"/>
  <c r="K16" i="86" s="1"/>
  <c r="J3" i="86"/>
  <c r="J15" i="86" s="1"/>
  <c r="J16" i="86" s="1"/>
  <c r="I3" i="86"/>
  <c r="I15" i="86" s="1"/>
  <c r="I16" i="86" s="1"/>
  <c r="H3" i="86"/>
  <c r="H19" i="86" s="1"/>
  <c r="G3" i="86"/>
  <c r="G15" i="86" s="1"/>
  <c r="G16" i="86" s="1"/>
  <c r="F3" i="86"/>
  <c r="F15" i="86" s="1"/>
  <c r="F16" i="86" s="1"/>
  <c r="E3" i="86"/>
  <c r="E19" i="86" s="1"/>
  <c r="D3" i="86"/>
  <c r="D19" i="86" s="1"/>
  <c r="D31" i="86" s="1"/>
  <c r="C3" i="86"/>
  <c r="C15" i="86" s="1"/>
  <c r="C16" i="86" s="1"/>
  <c r="B3" i="86"/>
  <c r="B19" i="86" s="1"/>
  <c r="F25" i="146" l="1"/>
  <c r="J26" i="126"/>
  <c r="I25" i="146"/>
  <c r="H31" i="86"/>
  <c r="E31" i="86"/>
  <c r="B31" i="86"/>
  <c r="H15" i="86"/>
  <c r="H16" i="86" s="1"/>
  <c r="I19" i="86"/>
  <c r="I31" i="86" s="1"/>
  <c r="L23" i="86"/>
  <c r="L31" i="86" s="1"/>
  <c r="J19" i="86"/>
  <c r="J31" i="86" s="1"/>
  <c r="B15" i="86"/>
  <c r="B16" i="86" s="1"/>
  <c r="C19" i="86"/>
  <c r="C31" i="86" s="1"/>
  <c r="K19" i="86"/>
  <c r="K31" i="86" s="1"/>
  <c r="M19" i="86"/>
  <c r="M31" i="86" s="1"/>
  <c r="E15" i="86"/>
  <c r="E16" i="86" s="1"/>
  <c r="F19" i="86"/>
  <c r="F31" i="86" s="1"/>
  <c r="G19" i="86"/>
  <c r="G31" i="86" s="1"/>
  <c r="D15" i="86"/>
  <c r="D16" i="86" s="1"/>
  <c r="K25" i="146" l="1"/>
  <c r="L19" i="83" l="1"/>
  <c r="O20" i="83"/>
  <c r="Q20" i="83" l="1"/>
  <c r="Q19" i="83" s="1"/>
  <c r="Q69" i="83" s="1"/>
  <c r="L19" i="126"/>
  <c r="M24" i="83"/>
  <c r="M31" i="83" s="1"/>
  <c r="O19" i="83"/>
  <c r="T20" i="83" l="1"/>
  <c r="W20" i="83" s="1"/>
  <c r="L18" i="126"/>
  <c r="M18" i="146"/>
  <c r="K19" i="126"/>
  <c r="O16" i="83"/>
  <c r="T19" i="83" l="1"/>
  <c r="N19" i="126"/>
  <c r="L15" i="126"/>
  <c r="M15" i="146" s="1"/>
  <c r="L18" i="146"/>
  <c r="M17" i="146"/>
  <c r="O22" i="83"/>
  <c r="O17" i="83"/>
  <c r="O21" i="83"/>
  <c r="O23" i="83"/>
  <c r="W19" i="83" l="1"/>
  <c r="W69" i="83" s="1"/>
  <c r="T69" i="83"/>
  <c r="N18" i="126"/>
  <c r="N70" i="126" s="1"/>
  <c r="O18" i="146"/>
  <c r="M19" i="126"/>
  <c r="M15" i="126"/>
  <c r="L21" i="126"/>
  <c r="M20" i="146" s="1"/>
  <c r="L20" i="126"/>
  <c r="M19" i="146" s="1"/>
  <c r="L22" i="126"/>
  <c r="M22" i="126" s="1"/>
  <c r="M74" i="126" s="1"/>
  <c r="L16" i="126"/>
  <c r="M16" i="146" s="1"/>
  <c r="O21" i="146"/>
  <c r="A14" i="83"/>
  <c r="A15" i="83" s="1"/>
  <c r="A16" i="83" s="1"/>
  <c r="A17" i="83" s="1"/>
  <c r="N15" i="146" l="1"/>
  <c r="M67" i="126"/>
  <c r="M21" i="126"/>
  <c r="K22" i="126"/>
  <c r="N18" i="146"/>
  <c r="M18" i="126"/>
  <c r="M70" i="126" s="1"/>
  <c r="M21" i="146"/>
  <c r="M20" i="126"/>
  <c r="N21" i="146"/>
  <c r="Q21" i="146"/>
  <c r="N19" i="146" l="1"/>
  <c r="M72" i="126"/>
  <c r="N20" i="146"/>
  <c r="M73" i="126"/>
  <c r="L21" i="146"/>
  <c r="Q18" i="146"/>
  <c r="N17" i="146"/>
  <c r="O29" i="83"/>
  <c r="D21" i="126"/>
  <c r="N24" i="83"/>
  <c r="N31" i="83" s="1"/>
  <c r="O15" i="83"/>
  <c r="L24" i="83"/>
  <c r="P18" i="146" l="1"/>
  <c r="L28" i="126"/>
  <c r="L31" i="83"/>
  <c r="L14" i="126"/>
  <c r="K28" i="126"/>
  <c r="M58" i="146"/>
  <c r="M28" i="126"/>
  <c r="E20" i="146"/>
  <c r="J22" i="83"/>
  <c r="D14" i="126"/>
  <c r="O30" i="83"/>
  <c r="O15" i="86"/>
  <c r="D15" i="126"/>
  <c r="D18" i="126"/>
  <c r="D20" i="126"/>
  <c r="O28" i="83"/>
  <c r="Q28" i="83" s="1"/>
  <c r="T28" i="83" s="1"/>
  <c r="W28" i="83" s="1"/>
  <c r="O24" i="83"/>
  <c r="N27" i="126" l="1"/>
  <c r="O57" i="146" s="1"/>
  <c r="P17" i="146"/>
  <c r="P22" i="146" s="1"/>
  <c r="P60" i="146" s="1"/>
  <c r="L27" i="126"/>
  <c r="L29" i="126"/>
  <c r="K29" i="126" s="1"/>
  <c r="M14" i="126"/>
  <c r="M66" i="126" s="1"/>
  <c r="M14" i="146"/>
  <c r="M22" i="146" s="1"/>
  <c r="L58" i="146"/>
  <c r="M29" i="126"/>
  <c r="Q57" i="146"/>
  <c r="N58" i="146"/>
  <c r="E19" i="146"/>
  <c r="E14" i="146"/>
  <c r="E17" i="146"/>
  <c r="E15" i="146"/>
  <c r="F21" i="126"/>
  <c r="J16" i="83"/>
  <c r="J21" i="83"/>
  <c r="J15" i="83"/>
  <c r="J19" i="83"/>
  <c r="O27" i="83"/>
  <c r="O31" i="83" s="1"/>
  <c r="M27" i="126" l="1"/>
  <c r="K27" i="126"/>
  <c r="L57" i="146" s="1"/>
  <c r="M57" i="146"/>
  <c r="N14" i="146"/>
  <c r="M59" i="146"/>
  <c r="F14" i="126"/>
  <c r="L26" i="126"/>
  <c r="N59" i="146"/>
  <c r="L59" i="146"/>
  <c r="G20" i="146"/>
  <c r="F20" i="126"/>
  <c r="H21" i="126"/>
  <c r="E21" i="126"/>
  <c r="F15" i="126"/>
  <c r="N57" i="146" l="1"/>
  <c r="G14" i="146"/>
  <c r="H14" i="126"/>
  <c r="J14" i="126" s="1"/>
  <c r="K26" i="126"/>
  <c r="M26" i="126"/>
  <c r="M25" i="146"/>
  <c r="M60" i="146" s="1"/>
  <c r="E14" i="126"/>
  <c r="G19" i="146"/>
  <c r="G15" i="146"/>
  <c r="F20" i="146"/>
  <c r="G17" i="146"/>
  <c r="I20" i="146"/>
  <c r="J21" i="126"/>
  <c r="E15" i="126"/>
  <c r="H15" i="126"/>
  <c r="H20" i="126"/>
  <c r="E20" i="126"/>
  <c r="H18" i="126"/>
  <c r="E18" i="126"/>
  <c r="N25" i="146" l="1"/>
  <c r="N50" i="146" s="1"/>
  <c r="I14" i="146"/>
  <c r="L25" i="146"/>
  <c r="L31" i="146" s="1"/>
  <c r="F14" i="146"/>
  <c r="K14" i="126"/>
  <c r="K21" i="126"/>
  <c r="I15" i="146"/>
  <c r="K20" i="146"/>
  <c r="I17" i="146"/>
  <c r="K14" i="146"/>
  <c r="F19" i="146"/>
  <c r="I19" i="146"/>
  <c r="F15" i="146"/>
  <c r="F17" i="146"/>
  <c r="O20" i="146"/>
  <c r="J15" i="126"/>
  <c r="J20" i="126"/>
  <c r="O14" i="146"/>
  <c r="J18" i="126"/>
  <c r="N34" i="146" l="1"/>
  <c r="N52" i="146"/>
  <c r="N36" i="146"/>
  <c r="N53" i="146"/>
  <c r="N45" i="146"/>
  <c r="N48" i="146"/>
  <c r="N47" i="146"/>
  <c r="N35" i="146"/>
  <c r="N49" i="146"/>
  <c r="N26" i="146"/>
  <c r="N54" i="146"/>
  <c r="N32" i="146"/>
  <c r="L51" i="146"/>
  <c r="L55" i="146"/>
  <c r="L36" i="146"/>
  <c r="N37" i="146"/>
  <c r="N51" i="146"/>
  <c r="N27" i="146"/>
  <c r="L41" i="146"/>
  <c r="N44" i="146"/>
  <c r="N38" i="146"/>
  <c r="N40" i="146"/>
  <c r="N42" i="146"/>
  <c r="N41" i="146"/>
  <c r="N43" i="146"/>
  <c r="N39" i="146"/>
  <c r="N31" i="146"/>
  <c r="N46" i="146"/>
  <c r="N55" i="146"/>
  <c r="N29" i="146"/>
  <c r="N28" i="146"/>
  <c r="N30" i="146"/>
  <c r="N33" i="146"/>
  <c r="L29" i="146"/>
  <c r="L48" i="146"/>
  <c r="L43" i="146"/>
  <c r="L30" i="146"/>
  <c r="L32" i="146"/>
  <c r="L33" i="146"/>
  <c r="L45" i="146"/>
  <c r="L50" i="146"/>
  <c r="L26" i="146"/>
  <c r="L34" i="146"/>
  <c r="L39" i="146"/>
  <c r="L28" i="146"/>
  <c r="L46" i="146"/>
  <c r="L54" i="146"/>
  <c r="L47" i="146"/>
  <c r="L52" i="146"/>
  <c r="L40" i="146"/>
  <c r="L42" i="146"/>
  <c r="L53" i="146"/>
  <c r="L27" i="146"/>
  <c r="L49" i="146"/>
  <c r="L35" i="146"/>
  <c r="L44" i="146"/>
  <c r="L38" i="146"/>
  <c r="L37" i="146"/>
  <c r="K20" i="126"/>
  <c r="K15" i="126"/>
  <c r="K18" i="126"/>
  <c r="K19" i="146"/>
  <c r="K15" i="146"/>
  <c r="L20" i="146"/>
  <c r="K17" i="146"/>
  <c r="L14" i="146"/>
  <c r="Q20" i="146"/>
  <c r="O15" i="146"/>
  <c r="Q14" i="146"/>
  <c r="O19" i="146"/>
  <c r="D16" i="126"/>
  <c r="E24" i="83"/>
  <c r="E31" i="83" l="1"/>
  <c r="L15" i="146"/>
  <c r="E16" i="146"/>
  <c r="E22" i="146" s="1"/>
  <c r="E60" i="146" s="1"/>
  <c r="L17" i="146"/>
  <c r="L19" i="146"/>
  <c r="Q15" i="146"/>
  <c r="Q19" i="146"/>
  <c r="D23" i="126"/>
  <c r="O17" i="146"/>
  <c r="H24" i="83"/>
  <c r="H31" i="83" s="1"/>
  <c r="J17" i="83"/>
  <c r="H25" i="83" l="1"/>
  <c r="F16" i="126"/>
  <c r="Q17" i="146"/>
  <c r="J24" i="83"/>
  <c r="J31" i="83" s="1"/>
  <c r="F23" i="126" l="1"/>
  <c r="H16" i="126"/>
  <c r="E16" i="126"/>
  <c r="G16" i="146"/>
  <c r="G22" i="146" s="1"/>
  <c r="G60" i="146" s="1"/>
  <c r="J25" i="83" l="1"/>
  <c r="F30" i="126"/>
  <c r="I16" i="146"/>
  <c r="I22" i="146" s="1"/>
  <c r="I60" i="146" s="1"/>
  <c r="H23" i="126"/>
  <c r="J16" i="126"/>
  <c r="J23" i="126" s="1"/>
  <c r="E23" i="126"/>
  <c r="F16" i="146"/>
  <c r="F22" i="146" s="1"/>
  <c r="F60" i="146" s="1"/>
  <c r="D30" i="126"/>
  <c r="J32" i="83" l="1"/>
  <c r="H32" i="83"/>
  <c r="H30" i="126"/>
  <c r="K16" i="146"/>
  <c r="K22" i="146" s="1"/>
  <c r="K60" i="146" s="1"/>
  <c r="K16" i="126"/>
  <c r="E30" i="126"/>
  <c r="J30" i="126"/>
  <c r="L23" i="126"/>
  <c r="O25" i="83" l="1"/>
  <c r="K23" i="126"/>
  <c r="L16" i="146"/>
  <c r="L22" i="146" s="1"/>
  <c r="L60" i="146" s="1"/>
  <c r="L30" i="126"/>
  <c r="Q16" i="146"/>
  <c r="Q22" i="146" s="1"/>
  <c r="Q60" i="146" s="1"/>
  <c r="O32" i="83" l="1"/>
  <c r="K30" i="126"/>
  <c r="F32" i="126" l="1"/>
  <c r="K32" i="126"/>
  <c r="J32" i="126"/>
  <c r="M32" i="126"/>
  <c r="H32" i="126"/>
  <c r="I32" i="126"/>
  <c r="L32" i="126"/>
  <c r="G32" i="126"/>
  <c r="N32" i="126"/>
  <c r="E32" i="126"/>
  <c r="D32" i="126"/>
  <c r="G33" i="126" l="1"/>
  <c r="H62" i="146"/>
  <c r="H63" i="146" s="1"/>
  <c r="O62" i="146"/>
  <c r="P62" i="146"/>
  <c r="P63" i="146" s="1"/>
  <c r="J33" i="126"/>
  <c r="K62" i="146"/>
  <c r="K63" i="146" s="1"/>
  <c r="L62" i="146"/>
  <c r="L63" i="146" s="1"/>
  <c r="K33" i="126"/>
  <c r="K35" i="126" s="1"/>
  <c r="G62" i="146"/>
  <c r="G63" i="146" s="1"/>
  <c r="F33" i="126"/>
  <c r="J62" i="146"/>
  <c r="J63" i="146" s="1"/>
  <c r="I33" i="126"/>
  <c r="H33" i="126"/>
  <c r="I62" i="146"/>
  <c r="I63" i="146" s="1"/>
  <c r="Q62" i="146"/>
  <c r="Q63" i="146" s="1"/>
  <c r="E33" i="126"/>
  <c r="F62" i="146"/>
  <c r="F63" i="146" s="1"/>
  <c r="L33" i="126"/>
  <c r="M62" i="146"/>
  <c r="M63" i="146" s="1"/>
  <c r="D33" i="126"/>
  <c r="E62" i="146"/>
  <c r="E63" i="146" s="1"/>
  <c r="N62" i="146"/>
  <c r="Q65" i="146" l="1"/>
  <c r="Q66" i="146" s="1"/>
  <c r="D35" i="126"/>
  <c r="E65" i="146" s="1"/>
  <c r="E66" i="146" s="1"/>
  <c r="L35" i="126"/>
  <c r="M65" i="146" s="1"/>
  <c r="M66" i="146" s="1"/>
  <c r="F35" i="126"/>
  <c r="G65" i="146" s="1"/>
  <c r="G66" i="146" s="1"/>
  <c r="K36" i="126"/>
  <c r="L65" i="146"/>
  <c r="L66" i="146" s="1"/>
  <c r="I35" i="126"/>
  <c r="J65" i="146" s="1"/>
  <c r="J66" i="146" s="1"/>
  <c r="J35" i="126"/>
  <c r="K65" i="146" s="1"/>
  <c r="K66" i="146" s="1"/>
  <c r="E35" i="126"/>
  <c r="F65" i="146" s="1"/>
  <c r="F66" i="146" s="1"/>
  <c r="H35" i="126"/>
  <c r="I65" i="146" s="1"/>
  <c r="I66" i="146" s="1"/>
  <c r="P65" i="146"/>
  <c r="P66" i="146" s="1"/>
  <c r="G35" i="126"/>
  <c r="H65" i="146" s="1"/>
  <c r="H66" i="146" s="1"/>
  <c r="G36" i="126" l="1"/>
  <c r="J36" i="126"/>
  <c r="E36" i="126"/>
  <c r="H36" i="126"/>
  <c r="L36" i="126"/>
  <c r="I36" i="126"/>
  <c r="F36" i="126"/>
  <c r="D36" i="126"/>
  <c r="T17" i="83" l="1"/>
  <c r="Q24" i="83"/>
  <c r="Q31" i="83" l="1"/>
  <c r="Q81" i="83" s="1"/>
  <c r="Q74" i="83"/>
  <c r="W17" i="83"/>
  <c r="W67" i="83" s="1"/>
  <c r="T67" i="83"/>
  <c r="N16" i="126"/>
  <c r="N68" i="126" s="1"/>
  <c r="T24" i="83"/>
  <c r="T74" i="83" s="1"/>
  <c r="T31" i="83" l="1"/>
  <c r="W24" i="83"/>
  <c r="W74" i="83" s="1"/>
  <c r="M16" i="126"/>
  <c r="M68" i="126" s="1"/>
  <c r="O16" i="146"/>
  <c r="O22" i="146" s="1"/>
  <c r="O60" i="146" s="1"/>
  <c r="O63" i="146" s="1"/>
  <c r="N23" i="126"/>
  <c r="N75" i="126" s="1"/>
  <c r="W31" i="83" l="1"/>
  <c r="W81" i="83" s="1"/>
  <c r="T81" i="83"/>
  <c r="T25" i="83"/>
  <c r="N30" i="126"/>
  <c r="N82" i="126" s="1"/>
  <c r="N16" i="146"/>
  <c r="N22" i="146" s="1"/>
  <c r="N60" i="146" s="1"/>
  <c r="N63" i="146" s="1"/>
  <c r="M23" i="126"/>
  <c r="M30" i="126" l="1"/>
  <c r="M75" i="126"/>
  <c r="W25" i="83"/>
  <c r="W75" i="83" s="1"/>
  <c r="T75" i="83"/>
  <c r="T32" i="83"/>
  <c r="N33" i="126"/>
  <c r="N85" i="126" s="1"/>
  <c r="M33" i="126" l="1"/>
  <c r="M82" i="126"/>
  <c r="N35" i="126"/>
  <c r="O65" i="146" l="1"/>
  <c r="O66" i="146" s="1"/>
  <c r="N87" i="126"/>
  <c r="M85" i="126"/>
  <c r="M35" i="126"/>
  <c r="N36" i="126"/>
  <c r="N88" i="126" s="1"/>
  <c r="N65" i="146" l="1"/>
  <c r="N66" i="146" s="1"/>
  <c r="M87" i="126"/>
  <c r="M36" i="126"/>
  <c r="M88" i="126" s="1"/>
</calcChain>
</file>

<file path=xl/comments1.xml><?xml version="1.0" encoding="utf-8"?>
<comments xmlns="http://schemas.openxmlformats.org/spreadsheetml/2006/main">
  <authors>
    <author>Annette Moore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Annette Moore:</t>
        </r>
        <r>
          <rPr>
            <sz val="9"/>
            <color indexed="81"/>
            <rFont val="Tahoma"/>
            <family val="2"/>
          </rPr>
          <t xml:space="preserve">
45600074 is Philips Steam Sale.  Happens infrequently.</t>
        </r>
      </text>
    </comment>
  </commentList>
</comments>
</file>

<file path=xl/sharedStrings.xml><?xml version="1.0" encoding="utf-8"?>
<sst xmlns="http://schemas.openxmlformats.org/spreadsheetml/2006/main" count="9267" uniqueCount="1506">
  <si>
    <t>DESCRIPTION</t>
  </si>
  <si>
    <t>RESTATED</t>
  </si>
  <si>
    <t>SALES TO OTHER UTILITIES (447)</t>
  </si>
  <si>
    <t>Orders</t>
  </si>
  <si>
    <t>1:  This schedule was derived from the PCA collaborative Exhibit B which was approved in Exhibit B to Attachment A to the Settlement Stipulation approved in Order 11 of Docket UE-130617 which is also included as Exhibit A in this petition. The row numbers presented correspond to that approved exhibit.</t>
  </si>
  <si>
    <t>Cumulative Gross PCA Contra</t>
  </si>
  <si>
    <t xml:space="preserve"> E</t>
  </si>
  <si>
    <t>Cumulative Gross PCA</t>
  </si>
  <si>
    <t>Gross PCA Contra</t>
  </si>
  <si>
    <t>Gross PCA</t>
  </si>
  <si>
    <t xml:space="preserve"> D</t>
  </si>
  <si>
    <t>Less Firm Wholesale</t>
  </si>
  <si>
    <t xml:space="preserve"> C</t>
  </si>
  <si>
    <t xml:space="preserve"> Surcharge or underrecovery/(refund or overrecovery)</t>
  </si>
  <si>
    <t>Baseline Power Costs</t>
  </si>
  <si>
    <t xml:space="preserve"> B</t>
  </si>
  <si>
    <t>Base line rate from ExhibitA_PORC Order</t>
  </si>
  <si>
    <t>Variable Baseline Rate</t>
  </si>
  <si>
    <t xml:space="preserve"> 16A</t>
  </si>
  <si>
    <t>From Subtotal line on Sales of Electricity Report</t>
  </si>
  <si>
    <t xml:space="preserve"> A</t>
  </si>
  <si>
    <t>Total allowable costs</t>
  </si>
  <si>
    <t xml:space="preserve">  Energy Imbalance Market Fixed Cost Adjustment</t>
  </si>
  <si>
    <t>17A</t>
  </si>
  <si>
    <t>MWh from OATI report times $1.49</t>
  </si>
  <si>
    <t xml:space="preserve">  Centralia PPA ROR Equity Adjustment</t>
  </si>
  <si>
    <t>Subtotal Variable Components</t>
  </si>
  <si>
    <t>SAP - actual Report GR55 Group Z006 (do not include true-ups prior to July 2002).</t>
  </si>
  <si>
    <t>Montana Electric Energy Tax</t>
  </si>
  <si>
    <t>Wheeling</t>
  </si>
  <si>
    <t>Sales to Others</t>
  </si>
  <si>
    <t>Brokerage Fees</t>
  </si>
  <si>
    <t>45600080, 81</t>
  </si>
  <si>
    <t>Purchases/Sales of Non-Core Gas</t>
  </si>
  <si>
    <t>Purchased &amp; Interchanged</t>
  </si>
  <si>
    <t>Other Power Generation Fuel</t>
  </si>
  <si>
    <t xml:space="preserve">  Revised for change in coal costs.</t>
  </si>
  <si>
    <t xml:space="preserve"> 3A</t>
  </si>
  <si>
    <t>Steam Operating Fuel</t>
  </si>
  <si>
    <t>FERC Acct.</t>
  </si>
  <si>
    <t>Total Variable Component Actual</t>
  </si>
  <si>
    <t>Explanation or source</t>
  </si>
  <si>
    <t>to Date</t>
  </si>
  <si>
    <t>Row</t>
  </si>
  <si>
    <t>Period</t>
  </si>
  <si>
    <t>UE-130617</t>
  </si>
  <si>
    <t>Subject to PCA Sharing</t>
  </si>
  <si>
    <t>Revised PCA Exhibit B</t>
  </si>
  <si>
    <t xml:space="preserve">(A) Remove impact of lower of cost or NRV inventory write-down. </t>
  </si>
  <si>
    <t xml:space="preserve">Power Costs Included in PCA Schedule B </t>
  </si>
  <si>
    <t>45600080,81,74</t>
  </si>
  <si>
    <t xml:space="preserve"> (A)</t>
  </si>
  <si>
    <t>(A)</t>
  </si>
  <si>
    <t>Adjustments for Power Costs  -  (refer to memo methodology of adjustments):</t>
  </si>
  <si>
    <t>Actual Power Costs:</t>
  </si>
  <si>
    <t>Total</t>
  </si>
  <si>
    <t>FERC/Account</t>
  </si>
  <si>
    <t>Commission Basis Report for:</t>
  </si>
  <si>
    <t>Actual</t>
  </si>
  <si>
    <t>Power Cost Increase / (Decrease)</t>
  </si>
  <si>
    <t>Weather Normalized Load Impact</t>
  </si>
  <si>
    <t>&lt;==Check</t>
  </si>
  <si>
    <t>Normalized Hydro Generation Impact</t>
  </si>
  <si>
    <t>Normalized Wind Generation Impact</t>
  </si>
  <si>
    <t xml:space="preserve">     Power Cost Adjustment Increase / (Decrease)</t>
  </si>
  <si>
    <t xml:space="preserve">     Any PCA Customer Sharing Impact</t>
  </si>
  <si>
    <t>Load</t>
  </si>
  <si>
    <t>Hydro</t>
  </si>
  <si>
    <t>Wind</t>
  </si>
  <si>
    <t>PCA</t>
  </si>
  <si>
    <t>Fuel</t>
  </si>
  <si>
    <t>Purchased and Interchanged and Other</t>
  </si>
  <si>
    <t>Sales to Other Utilities</t>
  </si>
  <si>
    <t>Purchases / Sales of Non Core gas</t>
  </si>
  <si>
    <t>Weather Normalization on Fixed Cost Deferral</t>
  </si>
  <si>
    <t xml:space="preserve">     Total Normalization - Power Cost Increase / (Decrease)</t>
  </si>
  <si>
    <t>UPDATE HILITED</t>
  </si>
  <si>
    <t>Impact to Power Costs</t>
  </si>
  <si>
    <t>Mid-C Flat</t>
  </si>
  <si>
    <t>&lt;=check</t>
  </si>
  <si>
    <t>Impact to Baseline Rate Revenue:  This is for the PCA sharing adjustment</t>
  </si>
  <si>
    <t>Baseline Rate in Effect</t>
  </si>
  <si>
    <t>Baseline Revenue Increase / (Decrease)</t>
  </si>
  <si>
    <t>PUGET SOUND ENERGY-ELECTRIC SYSTEM</t>
  </si>
  <si>
    <t xml:space="preserve">TEMPERATURE NORMALIZATION </t>
  </si>
  <si>
    <t>LINE</t>
  </si>
  <si>
    <t>NO.</t>
  </si>
  <si>
    <t>KWH</t>
  </si>
  <si>
    <t>CHANGE</t>
  </si>
  <si>
    <t>TOTAL</t>
  </si>
  <si>
    <t>ACTUAL HYDRO GENERATION</t>
  </si>
  <si>
    <t>check s/b 0</t>
  </si>
  <si>
    <t>Snoqualmie</t>
  </si>
  <si>
    <t>Lower Baker</t>
  </si>
  <si>
    <t>Upper Baker</t>
  </si>
  <si>
    <t>MidC Hydro</t>
  </si>
  <si>
    <t>CEA-EA (see note 1)</t>
  </si>
  <si>
    <t>Total Actual Hydro Generation</t>
  </si>
  <si>
    <t>NORMAL HYDRO</t>
  </si>
  <si>
    <t>PSE's Share of 80 Year Avg</t>
  </si>
  <si>
    <t>Rock Island (25%)</t>
  </si>
  <si>
    <t>Rocky Reach (25%)</t>
  </si>
  <si>
    <t>Total MidC Hydro</t>
  </si>
  <si>
    <t>Normal Westside Hydro - 80 years</t>
  </si>
  <si>
    <t xml:space="preserve">Lower Baker </t>
  </si>
  <si>
    <t>Total Westside Hydro</t>
  </si>
  <si>
    <t>Normal Hydro Generation</t>
  </si>
  <si>
    <t>Net Increase / (Decrease) Hydro Generation</t>
  </si>
  <si>
    <t>Increase / (Decrease) Market Purchase Volume</t>
  </si>
  <si>
    <t>Mid-C Price</t>
  </si>
  <si>
    <t>Increase / (Decrease) Market Purchase $</t>
  </si>
  <si>
    <t>Note 1: in actuals, Wells and Priest Rapids Project generation is net of CEA.  This is different from how we forecast so to avoid normalizing out CEA, use Mid-C net of CEA numbers.</t>
  </si>
  <si>
    <t>Actual hydro</t>
  </si>
  <si>
    <t xml:space="preserve">Normal hydro, therefore normally there'd be </t>
  </si>
  <si>
    <t>market purchases causing</t>
  </si>
  <si>
    <t>in power costs of:</t>
  </si>
  <si>
    <t>MidC Actual</t>
  </si>
  <si>
    <t>MidC Normal</t>
  </si>
  <si>
    <t>Normalize MidC Hydro Generation</t>
  </si>
  <si>
    <t>MidC Cost Impact</t>
  </si>
  <si>
    <t>Westside Actual</t>
  </si>
  <si>
    <t>Westside Normal</t>
  </si>
  <si>
    <t>Normalize Westside Hydro Generation</t>
  </si>
  <si>
    <t>Westside Cost Impact</t>
  </si>
  <si>
    <t>ACTUAL WIND</t>
  </si>
  <si>
    <t>Check s/b 0</t>
  </si>
  <si>
    <t>Hopkins Ridge</t>
  </si>
  <si>
    <t>Lower Snake River</t>
  </si>
  <si>
    <t>Wild Horse + WH Expansion</t>
  </si>
  <si>
    <t>Klondike PPA</t>
  </si>
  <si>
    <t>Total Actual Wind</t>
  </si>
  <si>
    <t>Total Normal Wind</t>
  </si>
  <si>
    <t>INCREASE / (DECREASE) TO MARKET PURCHASE VOLUME</t>
  </si>
  <si>
    <t>Wild Horse</t>
  </si>
  <si>
    <t xml:space="preserve">Total </t>
  </si>
  <si>
    <t>WIND INTEGRATION COSTS</t>
  </si>
  <si>
    <t>INCR/(DECR) WIND INTEGRATION COSTS</t>
  </si>
  <si>
    <t>Klondike Contract Price</t>
  </si>
  <si>
    <t>Incr/(Decr) wind integration costs</t>
  </si>
  <si>
    <t>Market Purchases</t>
  </si>
  <si>
    <t>Klondike Contract</t>
  </si>
  <si>
    <t>Increase /(Decrease) to Power Costs</t>
  </si>
  <si>
    <t>Actual wind</t>
  </si>
  <si>
    <t>Normal wind.  Normal wind would cause</t>
  </si>
  <si>
    <t>mkt purchases so need to</t>
  </si>
  <si>
    <t>power costs by</t>
  </si>
  <si>
    <t>MidC + Klondike</t>
  </si>
  <si>
    <t>Sum of txtVolume</t>
  </si>
  <si>
    <t>Date</t>
  </si>
  <si>
    <t>txtName</t>
  </si>
  <si>
    <t>txtTransTypeDesc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</si>
  <si>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</si>
  <si>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</si>
  <si>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</si>
  <si>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</si>
  <si>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</si>
  <si>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</si>
  <si>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</si>
  <si>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</si>
  <si>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</si>
  <si>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</si>
  <si>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</si>
  <si>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</si>
  <si>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</t>
  </si>
  <si>
    <t>Chelan PUD - RI &amp; RR</t>
  </si>
  <si>
    <t>Amort - Capacity Res</t>
  </si>
  <si>
    <t>Amort-RI Cvg Fund</t>
  </si>
  <si>
    <t>Amort-RI Wkg Cap</t>
  </si>
  <si>
    <t>Amort-RR Ppd Cvrg Fund</t>
  </si>
  <si>
    <t>Amort-RR Ppd Wkg Cap</t>
  </si>
  <si>
    <t>Debt Serv-Rocky Reach</t>
  </si>
  <si>
    <t>O&amp;M Rocky Reach</t>
  </si>
  <si>
    <t>Other - Rocky Reach</t>
  </si>
  <si>
    <t>Rock Island Admin</t>
  </si>
  <si>
    <t>Rock Island Debt Servi</t>
  </si>
  <si>
    <t>Rock Island O&amp;M</t>
  </si>
  <si>
    <t>Chelan PUD - Rock Island Syst #2</t>
  </si>
  <si>
    <t>Canadian Entitlement</t>
  </si>
  <si>
    <t>Chelan PUD - Rocky Reach</t>
  </si>
  <si>
    <t>Douglas PUD - Wells Project</t>
  </si>
  <si>
    <t>Other</t>
  </si>
  <si>
    <t>Grant PUD - Priest Rapids Project</t>
  </si>
  <si>
    <t>Klondike Wind Power III</t>
  </si>
  <si>
    <t>Energy</t>
  </si>
  <si>
    <t>Mid-C Hydro</t>
  </si>
  <si>
    <t>CEA</t>
  </si>
  <si>
    <t>Electron</t>
  </si>
  <si>
    <t>Hydro Maintenance</t>
  </si>
  <si>
    <t>Hydro Operations</t>
  </si>
  <si>
    <t>Station Service(Hydro)</t>
  </si>
  <si>
    <t>Electron Total</t>
  </si>
  <si>
    <t>Lower Baker Total</t>
  </si>
  <si>
    <t>Snoqualmie Falls #1</t>
  </si>
  <si>
    <t>Snoqualmie Falls #1 Total</t>
  </si>
  <si>
    <t>Snoqualmie Falls #2</t>
  </si>
  <si>
    <t>Snoqualmie Falls #2 Total</t>
  </si>
  <si>
    <t>Undistributed Hydro Expenses</t>
  </si>
  <si>
    <t>Undistributed Hydro Expenses Total</t>
  </si>
  <si>
    <t>Upper Baker Total</t>
  </si>
  <si>
    <t>Hopkins Ridge (W184)</t>
  </si>
  <si>
    <t>Lease Payment</t>
  </si>
  <si>
    <t>Other Maintenance</t>
  </si>
  <si>
    <t>Other Operations</t>
  </si>
  <si>
    <t>Hopkins Ridge (W184) Total</t>
  </si>
  <si>
    <t>Lower Snake River Total</t>
  </si>
  <si>
    <t>Lower Snake River Ph 2~5</t>
  </si>
  <si>
    <t>Lower Snake River Ph 2~5 Total</t>
  </si>
  <si>
    <t>Wild Horse (W183)</t>
  </si>
  <si>
    <t>Station Service(Other)</t>
  </si>
  <si>
    <t>Wild Horse (W183) Total</t>
  </si>
  <si>
    <t>Total Wind:</t>
  </si>
  <si>
    <t>Source: I:\EA Database</t>
  </si>
  <si>
    <t>Baker Total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</si>
  <si>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</si>
  <si>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</si>
  <si>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</si>
  <si>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</si>
  <si>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</si>
  <si>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</si>
  <si>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</si>
  <si>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</si>
  <si>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</si>
  <si>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</si>
  <si>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</si>
  <si>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</si>
  <si>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Plant 1</t>
  </si>
  <si>
    <t>Plant 2</t>
  </si>
  <si>
    <t>Year total</t>
  </si>
  <si>
    <t>Mid-C Hydro Project 80 Yr Avg Data (Water Yrs 1929 - 2008)</t>
  </si>
  <si>
    <t>AURORA Input</t>
  </si>
  <si>
    <t>Generation (PSE Portion) -  Rate Year 2018</t>
  </si>
  <si>
    <t>PSE Share</t>
  </si>
  <si>
    <t>Rocky</t>
  </si>
  <si>
    <t>Rock</t>
  </si>
  <si>
    <t>Priest</t>
  </si>
  <si>
    <t>MWhs</t>
  </si>
  <si>
    <t>Wells</t>
  </si>
  <si>
    <t>Reach</t>
  </si>
  <si>
    <t>Island</t>
  </si>
  <si>
    <t>Wanapum</t>
  </si>
  <si>
    <t>Rapids</t>
  </si>
  <si>
    <t>80 Yr</t>
  </si>
  <si>
    <t xml:space="preserve">Island </t>
  </si>
  <si>
    <t>Avg =&gt;</t>
  </si>
  <si>
    <t>Summary</t>
  </si>
  <si>
    <t>2017 GRC Settlement</t>
  </si>
  <si>
    <t>Day Ahead Cost per Project</t>
  </si>
  <si>
    <t>RY MWh</t>
  </si>
  <si>
    <t>Rate/MWh</t>
  </si>
  <si>
    <t>Notes</t>
  </si>
  <si>
    <t xml:space="preserve">Hopkins Ridge Average Annual Cost </t>
  </si>
  <si>
    <t>2017 GRC day ahead study provided total cost per project, not a rate per MWh</t>
  </si>
  <si>
    <t>LSR Average Annual Cost</t>
  </si>
  <si>
    <t>Wild Horse Average Annual Cost</t>
  </si>
  <si>
    <t xml:space="preserve">Klondike 3 Average Annual Cost </t>
  </si>
  <si>
    <t>Applies to Hopkins Ridge &amp; LSR - those projects in BPA's Balancing Authority.</t>
  </si>
  <si>
    <t>17GRC</t>
  </si>
  <si>
    <t>Wind Integration per 2017GRC</t>
  </si>
  <si>
    <t>MW</t>
  </si>
  <si>
    <t>MWh RY</t>
  </si>
  <si>
    <t>$/MWh</t>
  </si>
  <si>
    <t>BPA VERBS $/KW/Mo</t>
  </si>
  <si>
    <t>Wind Integration</t>
  </si>
  <si>
    <t>NIM</t>
  </si>
  <si>
    <t>Difference</t>
  </si>
  <si>
    <t>Wild Horse &amp; WHE</t>
  </si>
  <si>
    <t xml:space="preserve">PSE Study </t>
  </si>
  <si>
    <t>INCREASE / (DECREASE) TO WIND GENERATION</t>
  </si>
  <si>
    <t>DAY AHEAD COSTS</t>
  </si>
  <si>
    <t>GRC</t>
  </si>
  <si>
    <t>ck</t>
  </si>
  <si>
    <t>DAY AHEAD COSTS TOTAL</t>
  </si>
  <si>
    <t>HOUR AHEAD COSTS</t>
  </si>
  <si>
    <t>Fixed VERBS</t>
  </si>
  <si>
    <t>Iberdrola pays</t>
  </si>
  <si>
    <t>HOUR AHEAD COSTS TOTAL</t>
  </si>
  <si>
    <t>GENERATION IMBALANCE COSTS</t>
  </si>
  <si>
    <t>BPA BA</t>
  </si>
  <si>
    <t>GENERATION IMBALANCE COSTS TOTAL</t>
  </si>
  <si>
    <t>TOTAL INCR/(DECR) TO WIND INTEGRATION COSTS</t>
  </si>
  <si>
    <t>Avg $/MWh</t>
  </si>
  <si>
    <t>2017 GRC</t>
  </si>
  <si>
    <t>Value copy</t>
  </si>
  <si>
    <t>AURORA</t>
  </si>
  <si>
    <t>RY Avg</t>
  </si>
  <si>
    <t>to check</t>
  </si>
  <si>
    <t>check</t>
  </si>
  <si>
    <t>Sumas</t>
  </si>
  <si>
    <t>Stanfield</t>
  </si>
  <si>
    <t>AECO</t>
  </si>
  <si>
    <t>Station 2</t>
  </si>
  <si>
    <t>MidC On-Peak</t>
  </si>
  <si>
    <t>MidC Off-Peak</t>
  </si>
  <si>
    <t>MidC Flat</t>
  </si>
  <si>
    <t>HR - On Peak</t>
  </si>
  <si>
    <t>HR - Off Peak</t>
  </si>
  <si>
    <t>HR - Flat</t>
  </si>
  <si>
    <t>mark date 6.23.17</t>
  </si>
  <si>
    <t>Steam Power Generation Fuel</t>
  </si>
  <si>
    <t>Purchase Power</t>
  </si>
  <si>
    <t>Other Elec Rev -  Non-Core Gas</t>
  </si>
  <si>
    <t>Adjustments:</t>
  </si>
  <si>
    <t>Imbalance for Sharing: Under / (Over) Recovery</t>
  </si>
  <si>
    <t>Note:  This schedule was derived from original PCA collaborative Exhibit B.</t>
  </si>
  <si>
    <t>Imbalance From Above</t>
  </si>
  <si>
    <t>Power Cost Adjustment (Less Firm Wholesale)</t>
  </si>
  <si>
    <t>Baseline Rate Revenue Adj (Less Firm Wholesale)</t>
  </si>
  <si>
    <t xml:space="preserve">     Normalized Imbalance for sharing</t>
  </si>
  <si>
    <t>Going Through the PCA Bands</t>
  </si>
  <si>
    <t>Cumulative (Over)/Under Recovery for PSE</t>
  </si>
  <si>
    <t>(Over)/Under Recovery In:</t>
  </si>
  <si>
    <t>Dead Band $0-$17M</t>
  </si>
  <si>
    <t>1st Band  ($17-$40M)</t>
  </si>
  <si>
    <t>2nd Band ($40M-Above)</t>
  </si>
  <si>
    <t>check=&gt;</t>
  </si>
  <si>
    <t>Customer 1st Band  ($17-$40M)</t>
  </si>
  <si>
    <t>Customer 2nd Band ($40-Above)</t>
  </si>
  <si>
    <t>PSE Dead Band $0-$17M</t>
  </si>
  <si>
    <t>PSE 1st Band  ($17-$40M)</t>
  </si>
  <si>
    <t>PSE 2nd Band ($40-Above)</t>
  </si>
  <si>
    <t>Band Markers</t>
  </si>
  <si>
    <t>Sharing Split</t>
  </si>
  <si>
    <t>Band Assumptions:</t>
  </si>
  <si>
    <t>for Calcs</t>
  </si>
  <si>
    <t>Customer</t>
  </si>
  <si>
    <t>PSE</t>
  </si>
  <si>
    <t>Dead Band ($0-$17M)</t>
  </si>
  <si>
    <t>Dead Band (All PSE)</t>
  </si>
  <si>
    <t>Amount 1st Band ($17-$40M)</t>
  </si>
  <si>
    <t>PSE Under-Recovery</t>
  </si>
  <si>
    <t xml:space="preserve">       "                  "               "                   </t>
  </si>
  <si>
    <t>PSE Over-Recovery</t>
  </si>
  <si>
    <t xml:space="preserve">Start of 2nd Band ($40M) </t>
  </si>
  <si>
    <t xml:space="preserve">Above $40M either way, 90% to Customer </t>
  </si>
  <si>
    <t>Deferral after normalization</t>
  </si>
  <si>
    <t>&lt;= Incremental Deferral for total Year due to Normalization</t>
  </si>
  <si>
    <t>Other Power Generation Fuel Total</t>
  </si>
  <si>
    <t>Purchase Power Total</t>
  </si>
  <si>
    <t>Other Elec Revenues - Non-Core Gas</t>
  </si>
  <si>
    <t>(a) Add back $2,059,961 for the BPA Goldendale Settlement credit received March 2011 as it relates to the 2009 and 2010 PCA which were restated.</t>
  </si>
  <si>
    <t>(b) In Sep11 PSE received a $1,646,181 refund from Canada of taxes paid on non-core gas pipeline transportaion costs from Apr08 - Mar11. The refund was booked to 547 orders but as the amount was over $1 million prior PCA periods were adjusted.</t>
  </si>
  <si>
    <t>(a) In March 2010 PSE and its partners at Colstrip 3&amp;4 reached a settlement of a dispute with Western Energy regarding reclamation costs built into the price of coal in 2007.  PSE will receive $1.625 million which was recorded as a credit to a 501 order i</t>
  </si>
  <si>
    <t>(b) June 2010 sales to other utillities includes $17,762,735 debit to 447 order for the adjustment to the carrying value of PSE's California ISO wholesale energy regulatory asset per WUTC order on docket # UE-07075.  As the amount relates to activity that</t>
  </si>
  <si>
    <t xml:space="preserve">(c) In November 2010 PSE and Western Energy reached a settlement in which PSE will pay $287,633.36 related to Colstrip 3&amp;4 conveyor belt royalty and pricing for the period 1996 - 2001.  As this is prior to the PCA the amount should not be included in the </t>
  </si>
  <si>
    <t>(d) In November 2010 PSE and BPA reached a settlement on PSE's net over-return of losses from July 2001 through August 2009 in which BPA will pay PSE $5,601,664.  PSE recorded the settlement to a 555 order but as it is over $1 million the prior PCA period</t>
  </si>
  <si>
    <t>(c)  PSE received a refund in October 2009 related to tax on Tenaska displacement charges from November 2005 - September 2009.   The taxes had been included in the Tenaska purchase power amounts so revised prior period PCA's through Sept'09.  Booked refun</t>
  </si>
  <si>
    <t>Adjust Fixed Cost Deferral to Staff Methodology</t>
  </si>
  <si>
    <t>Notes:</t>
  </si>
  <si>
    <t>PROFORMA</t>
  </si>
  <si>
    <t>TEST YEAR</t>
  </si>
  <si>
    <t>%'s</t>
  </si>
  <si>
    <t>INCREASE (DECREASE) EXPENSE</t>
  </si>
  <si>
    <t>EQUITY RETURN ON CENTRALIA TRANSITION COAL PPA</t>
  </si>
  <si>
    <t>V</t>
  </si>
  <si>
    <t>n/a</t>
  </si>
  <si>
    <t>456-1 VARIABLE TRANSM. INCOME - COLSTRIP, 3RD AC &amp; NI</t>
  </si>
  <si>
    <t>F</t>
  </si>
  <si>
    <t>456-17</t>
  </si>
  <si>
    <t xml:space="preserve">TRANS. EXP. INCL. 500KV O&amp;M </t>
  </si>
  <si>
    <t>various</t>
  </si>
  <si>
    <t>PRODUCTION O&amp;M</t>
  </si>
  <si>
    <t>TOTAL INCREASE (DECREASE) EXPENSE</t>
  </si>
  <si>
    <t>Description</t>
  </si>
  <si>
    <t>F/V</t>
  </si>
  <si>
    <t xml:space="preserve">FERC </t>
  </si>
  <si>
    <t>Line</t>
  </si>
  <si>
    <t>Remove</t>
  </si>
  <si>
    <t>Determination of Net Power Costs</t>
  </si>
  <si>
    <t>Puget Sound Energy</t>
  </si>
  <si>
    <t>55700003  5360 - Pwr Supply - Brokerage Fee - E</t>
  </si>
  <si>
    <t>Net</t>
  </si>
  <si>
    <t>ASMT_BENEF</t>
  </si>
  <si>
    <t>ASMT_TAXES</t>
  </si>
  <si>
    <t>PSE_ALL_3</t>
  </si>
  <si>
    <t>Order Group.</t>
  </si>
  <si>
    <t>Order Group "557"</t>
  </si>
  <si>
    <t>SAP:  ZRW_Z851</t>
  </si>
  <si>
    <t>Order Group "Elecom1"</t>
  </si>
  <si>
    <t>Total Life of Contract</t>
  </si>
  <si>
    <t>Dec 24 - Nov 25</t>
  </si>
  <si>
    <t>Dec 23 - Nov 24</t>
  </si>
  <si>
    <t>Dec 22 - Nov 23</t>
  </si>
  <si>
    <t>Dec 21 - Nov 22</t>
  </si>
  <si>
    <t>Dec 20 - Nov 21</t>
  </si>
  <si>
    <t>Dec 19 - Nov 20</t>
  </si>
  <si>
    <t>Dec 18 - Nov 19</t>
  </si>
  <si>
    <t>Dec 17 - Nov 18</t>
  </si>
  <si>
    <t>Dec 16 - Nov 17</t>
  </si>
  <si>
    <t>Dec 15 - Nov 16</t>
  </si>
  <si>
    <t>Dec 14 - Nov 15</t>
  </si>
  <si>
    <t>Volume</t>
  </si>
  <si>
    <t>Centralia Coal Transition PPA - Equity Adder</t>
  </si>
  <si>
    <t>45610005  4310-Elec Trans Rev -OASIS-Cols,SI ,NI</t>
  </si>
  <si>
    <t>Act. Costs</t>
  </si>
  <si>
    <t xml:space="preserve">  ZO12                      Orders: Actual 12 Month Ended</t>
  </si>
  <si>
    <t>Prod. O&amp;M incl. Benefits/Taxes</t>
  </si>
  <si>
    <t>Glacier Battery</t>
  </si>
  <si>
    <t>Undistrib/Other Including Incentive Clearing, Compliance</t>
  </si>
  <si>
    <t>Mint Farm</t>
  </si>
  <si>
    <t>Goldendale</t>
  </si>
  <si>
    <t>Fredonia 1-4</t>
  </si>
  <si>
    <t>Freddie 1</t>
  </si>
  <si>
    <t>Ferndale</t>
  </si>
  <si>
    <t>Encogen</t>
  </si>
  <si>
    <t>Crystal Mountain</t>
  </si>
  <si>
    <t>Snoqualmie License</t>
  </si>
  <si>
    <t>Snoqualmie 1/2</t>
  </si>
  <si>
    <t>Baker License</t>
  </si>
  <si>
    <t>Colstrip 3&amp;4</t>
  </si>
  <si>
    <t>Colstrip 1&amp;2</t>
  </si>
  <si>
    <t>Resources</t>
  </si>
  <si>
    <t>Act/COCurr.</t>
  </si>
  <si>
    <t>WBS: k.99999.03.07.01,  k.99999.03.07.02</t>
  </si>
  <si>
    <t>SAP:  ZRW_6P02</t>
  </si>
  <si>
    <t>Adjustment</t>
  </si>
  <si>
    <t>Rate Year Power Costs</t>
  </si>
  <si>
    <t>Acct.</t>
  </si>
  <si>
    <t>($ in thousands)</t>
  </si>
  <si>
    <t>Coal fuel</t>
  </si>
  <si>
    <t>Natural gas fuel</t>
  </si>
  <si>
    <t>555H</t>
  </si>
  <si>
    <t>Hydro purchases</t>
  </si>
  <si>
    <t>555MP</t>
  </si>
  <si>
    <t>Market purchases</t>
  </si>
  <si>
    <t>Other contract purchases</t>
  </si>
  <si>
    <t>Secondary sales</t>
  </si>
  <si>
    <t>Transmission</t>
  </si>
  <si>
    <t>Other revenues</t>
  </si>
  <si>
    <t>Other power supply expense</t>
  </si>
  <si>
    <t>Total Rate Year Power Costs</t>
  </si>
  <si>
    <t>555WS</t>
  </si>
  <si>
    <t>Wind and solar purchases</t>
  </si>
  <si>
    <t>COAL FUEL (501)</t>
  </si>
  <si>
    <t>NATURAL GAS FUEL (547)</t>
  </si>
  <si>
    <t>Benefits</t>
  </si>
  <si>
    <t>Payroll Tax</t>
  </si>
  <si>
    <t>VARIABLE ENERGY COSTS + 557</t>
  </si>
  <si>
    <t>PURCHASED POWER (555)</t>
  </si>
  <si>
    <t>OTHER POWER EXPENSE (557)</t>
  </si>
  <si>
    <t>BROKERAGE FEES</t>
  </si>
  <si>
    <t>WHEELING  (565)</t>
  </si>
  <si>
    <t>PURCHASES / (SALES) OF NON -CORE GAS (456)</t>
  </si>
  <si>
    <t>CHECK =&gt;</t>
  </si>
  <si>
    <t>OTHER PRODUCTION COSTS</t>
  </si>
  <si>
    <t>Test Year</t>
  </si>
  <si>
    <t>45600080  Othr Elect Rev - Sale of Non-Core Gas</t>
  </si>
  <si>
    <t>45600081  Othr Elect Rev - Cost Non-Core Gas sold</t>
  </si>
  <si>
    <t>Group Jan-June 2021</t>
  </si>
  <si>
    <t>Group July-June  2020</t>
  </si>
  <si>
    <t>6 MOE Jul-DecJune 2020</t>
  </si>
  <si>
    <t>6 MOE Jan-June 2021</t>
  </si>
  <si>
    <t>Order List</t>
  </si>
  <si>
    <t>WBS K.99999.03.07.01  COL U3 U4 Elec Transmission Oper</t>
  </si>
  <si>
    <t>WBS K.99999.03.07.02  COL U3 U4 Elec Transmission Maint</t>
  </si>
  <si>
    <t>6MOE Dec 2020</t>
  </si>
  <si>
    <t>6MOE June 2021</t>
  </si>
  <si>
    <t>500KV</t>
  </si>
  <si>
    <t>Total Non Core Gas</t>
  </si>
  <si>
    <t>Equity Return $$ at $1.49 and 1.23 beginning May 2019 per MWh</t>
  </si>
  <si>
    <t>22GRC RY1 = Jan-Dec 2023 Rate Year</t>
  </si>
  <si>
    <t>22GRC RY2 = Jan-Dec 2024 Rate Year</t>
  </si>
  <si>
    <t>22GRC RY3 = Jan-Dec 2025 Rate Year</t>
  </si>
  <si>
    <t>Rate Year 1</t>
  </si>
  <si>
    <t>Rate Year 2</t>
  </si>
  <si>
    <t>Rate Year 3</t>
  </si>
  <si>
    <t>Test Tear 6/2021</t>
  </si>
  <si>
    <t xml:space="preserve">     Total Adjustment to Power Costs</t>
  </si>
  <si>
    <t>Add Fixed Deferral Rec'd in Other Rev for GAAP</t>
  </si>
  <si>
    <t>12MOE Jun-21 Normalized Power Costs Adjustment Net of PCA Customer Share</t>
  </si>
  <si>
    <t>Total Adjustment to Power Costs</t>
  </si>
  <si>
    <t xml:space="preserve">     Net Power Cost Adjustment Increase / (Decrease)</t>
  </si>
  <si>
    <t>Tot 12MOE Jun-21</t>
  </si>
  <si>
    <t>Change in Load (MWh)</t>
  </si>
  <si>
    <t>Change in GPI (MWh)</t>
  </si>
  <si>
    <t>Total 12MOE Jun-21</t>
  </si>
  <si>
    <t>*As Billed columns only include schedules with weather normalization</t>
  </si>
  <si>
    <t>GPI ADJ FOR LOSSES</t>
  </si>
  <si>
    <t>AS BILLED</t>
  </si>
  <si>
    <t>*TEMP ADJ</t>
  </si>
  <si>
    <t>*ACTUAL</t>
  </si>
  <si>
    <t>FOR THE TWELVE MONTHS ENDED JUN 2021</t>
  </si>
  <si>
    <t>CEA Obligation GRC 2019 (see note 1)</t>
  </si>
  <si>
    <t>Wanapum (0.64% - 4.97%)</t>
  </si>
  <si>
    <t>Priest Rapids (0.64% - 4.97%)</t>
  </si>
  <si>
    <t>Wells (7.94% - 34.43%)</t>
  </si>
  <si>
    <t>2017 GRC Jul 1 - Oct 14, 2019 GRC Oct 15 - Jun 31, verify</t>
  </si>
  <si>
    <t>actuals from EA</t>
  </si>
  <si>
    <t>Normalizing Klondike requires adjusting market purchases at Mid-C price and adjusting Klondike purchases at Klondike price.</t>
  </si>
  <si>
    <t>Vaisala Forecast source file: PKW-WP(C) Wind resource inputs.xls</t>
  </si>
  <si>
    <t>before Klondike and integration costs</t>
  </si>
  <si>
    <t>DNV Forecast Jul 1 - Oct 14, Vaisala Forecast Oct 15 - Jun 30, verify</t>
  </si>
  <si>
    <t>NORMAL WIND - Vaisala Forecast</t>
  </si>
  <si>
    <t>2019 GRC</t>
  </si>
  <si>
    <t>May 2020 - Apr 2021 rate year</t>
  </si>
  <si>
    <t>SNOQUALMIE GENERATION from SAGE model in 2019 GRC</t>
  </si>
  <si>
    <t>SNOQUALMIE GENERATION from SAGE model in 2017 GRC</t>
  </si>
  <si>
    <t>BAKER GENERATION from BAGE model in 2019 GRC</t>
  </si>
  <si>
    <t>BAKER GENERATION from BAGE model in 2017 GRC</t>
  </si>
  <si>
    <t>Priest Rapids</t>
  </si>
  <si>
    <t>Rocky Reach</t>
  </si>
  <si>
    <t>Rock Island</t>
  </si>
  <si>
    <t>Generation (PSE Portion) -  Rate Year May 2020 - April 2021</t>
  </si>
  <si>
    <t>Summary Mid-C Hydro in 2019 GRC</t>
  </si>
  <si>
    <t>Summary Mid-C Hydro in 2017 GRC</t>
  </si>
  <si>
    <t>2019 GRC - Vaisala Forecast</t>
  </si>
  <si>
    <t>2017 GRC - 2010 DNV Forecast</t>
  </si>
  <si>
    <t>Wind Forecasts</t>
  </si>
  <si>
    <t>CEA Forecasts</t>
  </si>
  <si>
    <t>Per 2019</t>
  </si>
  <si>
    <t xml:space="preserve">Per 2017 </t>
  </si>
  <si>
    <t>Removed in 2019 GRC</t>
  </si>
  <si>
    <t>19GRC</t>
  </si>
  <si>
    <t>Generation Imbalance per 2019GRC</t>
  </si>
  <si>
    <t>2019 GRC day ahead study provided total cost per project, not a rate per MWh</t>
  </si>
  <si>
    <t>2019 GRC Final Order</t>
  </si>
  <si>
    <t>mark date 12.05.19</t>
  </si>
  <si>
    <t xml:space="preserve">     Adjustment to Deferral from Normalization</t>
  </si>
  <si>
    <t>12MOE Jun-21 Actual Deferral</t>
  </si>
  <si>
    <t>Deferral before normalization (IGNORE QUARTERLY)</t>
  </si>
  <si>
    <r>
      <t xml:space="preserve">Deferral </t>
    </r>
    <r>
      <rPr>
        <b/>
        <i/>
        <sz val="11"/>
        <color rgb="FFFF0000"/>
        <rFont val="Calibri"/>
        <family val="2"/>
        <scheme val="minor"/>
      </rPr>
      <t>(65%/35% for 1st Band)</t>
    </r>
  </si>
  <si>
    <t>Up through this point, Actuals, aside from cumulative totals, should tie to Energy accounting</t>
  </si>
  <si>
    <t>blended</t>
  </si>
  <si>
    <t xml:space="preserve">Oct 15, 2020 -    </t>
  </si>
  <si>
    <t xml:space="preserve">              Dec 19, 2017 - Oct 14, 2020</t>
  </si>
  <si>
    <t>Green Direct - $ ADJUST MENT FOR MAY AND JUNE</t>
  </si>
  <si>
    <t>Green Direct - $ ADJUST MENT FOR JAN - APRIL</t>
  </si>
  <si>
    <t xml:space="preserve">Oct 15, 2020 - </t>
  </si>
  <si>
    <t>May 1, 2019 - Oct 14, 2020</t>
  </si>
  <si>
    <t>Green Direct - Embedded Market $/kWh</t>
  </si>
  <si>
    <t>Green Direct -Load</t>
  </si>
  <si>
    <t>PCA period delivered load (Kwh) - at new rate</t>
  </si>
  <si>
    <t>PCA period delivered load (Kwh) - at old rate</t>
  </si>
  <si>
    <t>Schedule B:  Monthly Power Costs -- 12MOE Jun-21</t>
  </si>
  <si>
    <t>4500080/81</t>
  </si>
  <si>
    <t>PCA Period 12MOE Jun-21: July 1, 2020 through June 30, 2021</t>
  </si>
  <si>
    <t>Schedule B Backup - Actual Costs</t>
  </si>
  <si>
    <t>Test Year:  12MOE June 2021</t>
  </si>
  <si>
    <t>12MOE June 2021</t>
  </si>
  <si>
    <t>12MOE Dec 2023</t>
  </si>
  <si>
    <t>Thermal CT</t>
  </si>
  <si>
    <t>Colstrip</t>
  </si>
  <si>
    <t>Whitehorn 2/3</t>
  </si>
  <si>
    <t>Frederickson 1/2</t>
  </si>
  <si>
    <t>Rate Year June'21 - May'22</t>
  </si>
  <si>
    <t>Rate Year Jan'25 - Dec'25</t>
  </si>
  <si>
    <t>Rate Year Jan'24 - Dec'24</t>
  </si>
  <si>
    <t>Rate Year Jan'23 - Dec'23</t>
  </si>
  <si>
    <t>2020 PCORC</t>
  </si>
  <si>
    <t>2021 GRC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</si>
  <si>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</si>
  <si>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Restating</t>
  </si>
  <si>
    <t>Removed in</t>
  </si>
  <si>
    <t>Pass-Thru</t>
  </si>
  <si>
    <t>Green Tags</t>
  </si>
  <si>
    <t>Power Cost</t>
  </si>
  <si>
    <t>(1)</t>
  </si>
  <si>
    <t>ADJUSTED</t>
  </si>
  <si>
    <t xml:space="preserve">Restated </t>
  </si>
  <si>
    <t xml:space="preserve">Power </t>
  </si>
  <si>
    <t>Costs</t>
  </si>
  <si>
    <t>POWER COST</t>
  </si>
  <si>
    <t>AMA</t>
  </si>
  <si>
    <t>EOP</t>
  </si>
  <si>
    <t>DEC 2021</t>
  </si>
  <si>
    <t>12ME JUNE 2021</t>
  </si>
  <si>
    <t>TRADITIONAL</t>
  </si>
  <si>
    <t>GAP YEAR</t>
  </si>
  <si>
    <t>RESULTS</t>
  </si>
  <si>
    <t>RATE YEAR 1</t>
  </si>
  <si>
    <t>RATE YEAR 2</t>
  </si>
  <si>
    <t>RATE YEAR 3</t>
  </si>
  <si>
    <t>RESTATING</t>
  </si>
  <si>
    <t>RESULTS OF</t>
  </si>
  <si>
    <t>PROVISIONAL</t>
  </si>
  <si>
    <t>START OF</t>
  </si>
  <si>
    <t>END OF</t>
  </si>
  <si>
    <t>ADJUSTMENTS</t>
  </si>
  <si>
    <t>OPERATIONS</t>
  </si>
  <si>
    <t>VARIABLE ENERGY COSTS FROM POWER COST WITNESS</t>
  </si>
  <si>
    <t>BROKERAGE FEES (557 VARIABLE)</t>
  </si>
  <si>
    <t>INCREASE / (DECREASE) EXPENSE</t>
  </si>
  <si>
    <t/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</si>
  <si>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</si>
  <si>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</si>
  <si>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</si>
  <si>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</si>
  <si>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</si>
  <si>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</si>
  <si>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</si>
  <si>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Test Year In Lead</t>
  </si>
  <si>
    <t>Adjusted</t>
  </si>
  <si>
    <t>Adjusted Test Year is the sum of the TY plus amounts already included in other adjustments and needed in order to avoid any double counting in the power cost adjustment.</t>
  </si>
  <si>
    <t xml:space="preserve">Remarks </t>
  </si>
  <si>
    <t>Upper/Lower Baker</t>
  </si>
  <si>
    <t xml:space="preserve">Thermal CT: </t>
  </si>
  <si>
    <t xml:space="preserve">less: Amortization Exp: </t>
  </si>
  <si>
    <t>PKW and MAC</t>
  </si>
  <si>
    <t>12MOE Dec 2024</t>
  </si>
  <si>
    <t>Check==&gt;</t>
  </si>
  <si>
    <t>Grand Total Transmission Revenue</t>
  </si>
  <si>
    <t xml:space="preserve">     Sub Total Non 45610005</t>
  </si>
  <si>
    <t>449 Network Customers, Ancillary Services, Other</t>
  </si>
  <si>
    <t>Other - Grandfathered Agreements, Tax &amp; Loss</t>
  </si>
  <si>
    <t>BPA Network, Ded Facilities, Ancillary Services</t>
  </si>
  <si>
    <t>WA Facilities, Southern Intertie, Ancillary Services less 45610005</t>
  </si>
  <si>
    <t>45610005 for Exh A-1</t>
  </si>
  <si>
    <t>Rate Year 1:  12MOE December 2023</t>
  </si>
  <si>
    <t>Rate Year 2:  12MOE December 2024</t>
  </si>
  <si>
    <t>FERC</t>
  </si>
  <si>
    <t>FERC Detail</t>
  </si>
  <si>
    <t xml:space="preserve">          (30) 4091 - Fit-Util Oper Income</t>
  </si>
  <si>
    <t xml:space="preserve">          (11) 501 - Steam Operations Fuel</t>
  </si>
  <si>
    <t xml:space="preserve">          (11) 547 - Other Power Generation Oper Fuel</t>
  </si>
  <si>
    <t xml:space="preserve">          (12) 555 - Purchased Power</t>
  </si>
  <si>
    <t xml:space="preserve">          (12) 557 - Other Power Supply Expense</t>
  </si>
  <si>
    <t xml:space="preserve">          (13) 565 - Transmission Of Electricity By Others</t>
  </si>
  <si>
    <t xml:space="preserve">          (4) 447 - Electric Sales For Resale - Sales</t>
  </si>
  <si>
    <t xml:space="preserve">          (5) 456 - Other Electric Revenues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</si>
  <si>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</si>
  <si>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</si>
  <si>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</si>
  <si>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</si>
  <si>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</si>
  <si>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</si>
  <si>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</si>
  <si>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</si>
  <si>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</si>
  <si>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</si>
  <si>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</si>
  <si>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</si>
  <si>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</si>
  <si>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</si>
  <si>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</si>
  <si>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</si>
  <si>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</si>
  <si>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</si>
  <si>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</si>
  <si>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</si>
  <si>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</si>
  <si>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</si>
  <si>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</si>
  <si>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</si>
  <si>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</si>
  <si>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</si>
  <si>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</si>
  <si>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</si>
  <si>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</si>
  <si>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</si>
  <si>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</si>
  <si>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(30) 4081 - Montana Corp. License Taxes</t>
  </si>
  <si>
    <t>2022 GRC</t>
  </si>
  <si>
    <t>2022 GRC rate year (2023)</t>
  </si>
  <si>
    <t>2022 GRC - 2024</t>
  </si>
  <si>
    <t>2022 GRC - 2025</t>
  </si>
  <si>
    <t>2020 PCORC - Final Order</t>
  </si>
  <si>
    <t>TRAD</t>
  </si>
  <si>
    <t>PROFR</t>
  </si>
  <si>
    <t>ADJ</t>
  </si>
  <si>
    <t>GAP</t>
  </si>
  <si>
    <t>PROV</t>
  </si>
  <si>
    <t>Inc Statement</t>
  </si>
  <si>
    <t>Sch 95 PCA</t>
  </si>
  <si>
    <t>CC_5327 - Wild Horse Wind Facility</t>
  </si>
  <si>
    <t>CC_5325 - SE Washington Wind Plants</t>
  </si>
  <si>
    <t>CC_5240 - Snoqualmie River Hydro Project</t>
  </si>
  <si>
    <t>CC_5150 - Baker River Hydro Project</t>
  </si>
  <si>
    <t>CC_5031 - Dam Safety</t>
  </si>
  <si>
    <t>CC_5025 - Mint Farm Generating Station</t>
  </si>
  <si>
    <t>CC_5021 - Goldendale Generating Station</t>
  </si>
  <si>
    <t>CC_5020 - Resource Sciences &amp; Asset Management</t>
  </si>
  <si>
    <t>CC_5019 - Sumas Generating Station</t>
  </si>
  <si>
    <t>CC_5017 - Encogen Generating Plant</t>
  </si>
  <si>
    <t>CC_5012 - Joint Generation</t>
  </si>
  <si>
    <t>CC_5009 - Simple Cycle Plants</t>
  </si>
  <si>
    <t>Cost Center</t>
  </si>
  <si>
    <t>Sept20 - Present</t>
  </si>
  <si>
    <t>Jul20 - Aug20</t>
  </si>
  <si>
    <t>2020PCORC</t>
  </si>
  <si>
    <t>2020 PCORC Final Order Escalated vs. 2023 Rate Year</t>
  </si>
  <si>
    <t>2020 PCORC Final Order Escalated vs. 2024 Rate Year</t>
  </si>
  <si>
    <t>2020 PCORC Final Order Escalated vs. 2025 Rate Year</t>
  </si>
  <si>
    <t>2020 PCORC Escalated to 2023 $$</t>
  </si>
  <si>
    <t>Increase due to amortization expense.  No amortization in 2020 PCORC.</t>
  </si>
  <si>
    <t>Check Totals</t>
  </si>
  <si>
    <t xml:space="preserve">Production O&amp;M Summary: </t>
  </si>
  <si>
    <t>Production O&amp;M by FERC</t>
  </si>
  <si>
    <t>Major Maintenance</t>
  </si>
  <si>
    <t>Amortization Comparison</t>
  </si>
  <si>
    <t>WLD Royalties</t>
  </si>
  <si>
    <t>WLD Vestas</t>
  </si>
  <si>
    <t>HPR Royalteis</t>
  </si>
  <si>
    <t>HPR Vestas</t>
  </si>
  <si>
    <t>LSR Lease Pymnts</t>
  </si>
  <si>
    <t>LSR Siemens</t>
  </si>
  <si>
    <t>*</t>
  </si>
  <si>
    <t>HIDE</t>
  </si>
  <si>
    <t>PLANT</t>
  </si>
  <si>
    <t>WBS</t>
  </si>
  <si>
    <t>WBS Element Description</t>
  </si>
  <si>
    <t>xxx</t>
  </si>
  <si>
    <t>BPC WBS</t>
  </si>
  <si>
    <t>CE Type</t>
  </si>
  <si>
    <t>Cost Center Description</t>
  </si>
  <si>
    <t>Account</t>
  </si>
  <si>
    <t>Cost Element Description</t>
  </si>
  <si>
    <t>CC_9801 - Generation Amortization</t>
  </si>
  <si>
    <t>C.99999.03.25.01</t>
  </si>
  <si>
    <t>ENC Amortization Expense Maint</t>
  </si>
  <si>
    <t>W_C.99999.03.25.01</t>
  </si>
  <si>
    <t>W_C.99999.03.25.01 - ENC Amortization Expense Maint</t>
  </si>
  <si>
    <t>AMORT</t>
  </si>
  <si>
    <t>Generation Amortization</t>
  </si>
  <si>
    <t>Amortization</t>
  </si>
  <si>
    <t>C.99999.03.25.02</t>
  </si>
  <si>
    <t>SMS Amortization Expense Maint</t>
  </si>
  <si>
    <t>W_C.99999.03.25.02</t>
  </si>
  <si>
    <t>W_C.99999.03.25.02 - SMS Amortization Expense Maint</t>
  </si>
  <si>
    <t>C.99999.03.25.03</t>
  </si>
  <si>
    <t>GLD Amortization Expense Maint</t>
  </si>
  <si>
    <t>W_C.99999.03.25.03</t>
  </si>
  <si>
    <t>W_C.99999.03.25.03 - GLD Amortization Expense Maint</t>
  </si>
  <si>
    <t>C.99999.03.25.04</t>
  </si>
  <si>
    <t>MTF Amortization Expense Maint</t>
  </si>
  <si>
    <t>W_C.99999.03.25.04</t>
  </si>
  <si>
    <t>W_C.99999.03.25.04 - MTF Amortization Expense Maint</t>
  </si>
  <si>
    <t>C.99999.03.25.05</t>
  </si>
  <si>
    <t>FRA Amortization Expense Maint</t>
  </si>
  <si>
    <t>W_C.99999.03.25.05</t>
  </si>
  <si>
    <t>W_C.99999.03.25.05 - FRA Amortization Expense Maint</t>
  </si>
  <si>
    <t>C.99999.03.25.06</t>
  </si>
  <si>
    <t>WHH Amortization Expense Maint</t>
  </si>
  <si>
    <t>W_C.99999.03.25.06</t>
  </si>
  <si>
    <t>W_C.99999.03.25.06 - WHH Amortization Expense Maint</t>
  </si>
  <si>
    <t>C.99999.03.25.07</t>
  </si>
  <si>
    <t>FRE U1 U2 Amortization Expense Maint</t>
  </si>
  <si>
    <t>W_C.99999.03.25.07</t>
  </si>
  <si>
    <t>W_C.99999.03.25.07 - FRE U1 U2 Amortization Expense Maint</t>
  </si>
  <si>
    <t>C.99999.03.25.08</t>
  </si>
  <si>
    <t>FERN Major Maintenance Amortization</t>
  </si>
  <si>
    <t>W_C.99999.03.25.08</t>
  </si>
  <si>
    <t>W_C.99999.03.25.08 - FERN Major Maintenance Amortization</t>
  </si>
  <si>
    <t>C.99999.03.25.09</t>
  </si>
  <si>
    <t>FREDDY 1 Amortization Expense Maint</t>
  </si>
  <si>
    <t>W_C.99999.03.25.09</t>
  </si>
  <si>
    <t>W_C.99999.03.25.09 - FREDDY 1 Amortization Expense Maint</t>
  </si>
  <si>
    <t>C.99999.03.25.11</t>
  </si>
  <si>
    <t>COL U3 U4 Major Maint Amortization</t>
  </si>
  <si>
    <t>W_C.99999.03.25.11</t>
  </si>
  <si>
    <t>W_C.99999.03.25.11 - COL U3 U4 Major Maint Amortization</t>
  </si>
  <si>
    <t>K.99999.03.28.06</t>
  </si>
  <si>
    <t>WLD Plant Operations</t>
  </si>
  <si>
    <t>W_K.99999.03.28.06</t>
  </si>
  <si>
    <t>W_K.99999.03.28.06 - WLD Plant Operations</t>
  </si>
  <si>
    <t>PR_OH</t>
  </si>
  <si>
    <t>Wild Horse Wind Facility</t>
  </si>
  <si>
    <t>Benefits OH</t>
  </si>
  <si>
    <t>K.99999.03.28.07</t>
  </si>
  <si>
    <t>WLD Renewable Energy Center</t>
  </si>
  <si>
    <t>W_K.99999.03.28.07</t>
  </si>
  <si>
    <t>W_K.99999.03.28.07 - WLD Renewable Energy Center</t>
  </si>
  <si>
    <t>K.99999.03.28.14</t>
  </si>
  <si>
    <t>WLD Supervision and Support CC 5327A</t>
  </si>
  <si>
    <t>W_K.99999.03.28.14</t>
  </si>
  <si>
    <t>W_K.99999.03.28.14 - WLD Supervision and Support CC 5327A</t>
  </si>
  <si>
    <t>K.99999.03.26.08</t>
  </si>
  <si>
    <t>HPK Plant Operations</t>
  </si>
  <si>
    <t>W_K.99999.03.26.08</t>
  </si>
  <si>
    <t>W_K.99999.03.26.08 - HPK Plant Operations</t>
  </si>
  <si>
    <t>SE Washington Wind Plants</t>
  </si>
  <si>
    <t>K.99999.03.26.14</t>
  </si>
  <si>
    <t>HPK Supervision and Support CC 5325A</t>
  </si>
  <si>
    <t>W_K.99999.03.26.14</t>
  </si>
  <si>
    <t>W_K.99999.03.26.14 - HPK Supervision and Support CC 5325A</t>
  </si>
  <si>
    <t>K.99999.03.27.08</t>
  </si>
  <si>
    <t>LSR1 Plant Operations</t>
  </si>
  <si>
    <t>W_K.99999.03.27.08</t>
  </si>
  <si>
    <t>W_K.99999.03.27.08 - LSR1 Plant Operations</t>
  </si>
  <si>
    <t>K.99999.03.27.14</t>
  </si>
  <si>
    <t>LSR1 Supervision and Support CC 5325A</t>
  </si>
  <si>
    <t>W_K.99999.03.27.14</t>
  </si>
  <si>
    <t>W_K.99999.03.27.14 - LSR1 Supervision and Support CC 5325A</t>
  </si>
  <si>
    <t>K.99999.03.23.02</t>
  </si>
  <si>
    <t>SNO Dam Dike Structr Wterwy Prvntv Maint</t>
  </si>
  <si>
    <t>W_K.99999.03.23.02</t>
  </si>
  <si>
    <t>W_K.99999.03.23.02 - SNO Dam Dike Structr Wterwy Prvntv Maint</t>
  </si>
  <si>
    <t>Snoqualmie River Hydro Project</t>
  </si>
  <si>
    <t>K.99999.03.23.04</t>
  </si>
  <si>
    <t>SNO Preventative Maintenance</t>
  </si>
  <si>
    <t>W_K.99999.03.23.04</t>
  </si>
  <si>
    <t>W_K.99999.03.23.04 - SNO Preventative Maintenance</t>
  </si>
  <si>
    <t>K.99999.03.23.05</t>
  </si>
  <si>
    <t>SNO Operations</t>
  </si>
  <si>
    <t>W_K.99999.03.23.05</t>
  </si>
  <si>
    <t>W_K.99999.03.23.05 - SNO Operations</t>
  </si>
  <si>
    <t>K.99999.03.23.07</t>
  </si>
  <si>
    <t>SNO Recreation</t>
  </si>
  <si>
    <t>W_K.99999.03.23.07</t>
  </si>
  <si>
    <t>W_K.99999.03.23.07 - SNO Recreation</t>
  </si>
  <si>
    <t>K.99999.03.23.10</t>
  </si>
  <si>
    <t>SNO Supervision and Support CC 5240A</t>
  </si>
  <si>
    <t>W_K.99999.03.23.10</t>
  </si>
  <si>
    <t>W_K.99999.03.23.10 - SNO Supervision and Support CC 5240A</t>
  </si>
  <si>
    <t>K.99999.03.19.03</t>
  </si>
  <si>
    <t>BKR Dam Dike Structr Wterwy Prvntv Maint</t>
  </si>
  <si>
    <t>W_K.99999.03.19.03</t>
  </si>
  <si>
    <t>W_K.99999.03.19.03 - BKR Dam Dike Structr Wterwy Prvntv Maint</t>
  </si>
  <si>
    <t>Baker River Hydro Project</t>
  </si>
  <si>
    <t>K.99999.03.19.05</t>
  </si>
  <si>
    <t>BKR Supervision and Support CC 5150A</t>
  </si>
  <si>
    <t>W_K.99999.03.19.05</t>
  </si>
  <si>
    <t>W_K.99999.03.19.05 - BKR Supervision and Support CC 5150A</t>
  </si>
  <si>
    <t>K.99999.03.20.05</t>
  </si>
  <si>
    <t>BKR Corrective Maintenance</t>
  </si>
  <si>
    <t>W_K.99999.03.20.05</t>
  </si>
  <si>
    <t>W_K.99999.03.20.05 - BKR Corrective Maintenance</t>
  </si>
  <si>
    <t>K.99999.03.20.06</t>
  </si>
  <si>
    <t>BKR Preventative Maintenance</t>
  </si>
  <si>
    <t>W_K.99999.03.20.06</t>
  </si>
  <si>
    <t>W_K.99999.03.20.06 - BKR Preventative Maintenance</t>
  </si>
  <si>
    <t>K.99999.03.20.07</t>
  </si>
  <si>
    <t>BKR Operations</t>
  </si>
  <si>
    <t>W_K.99999.03.20.07</t>
  </si>
  <si>
    <t>W_K.99999.03.20.07 - BKR Operations</t>
  </si>
  <si>
    <t>K.99999.03.16.01</t>
  </si>
  <si>
    <t>Dam Safety Program</t>
  </si>
  <si>
    <t>W_K.99999.03.16.01</t>
  </si>
  <si>
    <t>W_K.99999.03.16.01 - Dam Safety Program</t>
  </si>
  <si>
    <t>Dam Safety</t>
  </si>
  <si>
    <t>K.99999.03.16.04</t>
  </si>
  <si>
    <t>DS WM Supervision and Support CC 5031A</t>
  </si>
  <si>
    <t>W_K.99999.03.16.04</t>
  </si>
  <si>
    <t>W_K.99999.03.16.04 - DS WM Supervision and Support CC 5031A</t>
  </si>
  <si>
    <t>K.99999.03.16.06</t>
  </si>
  <si>
    <t>Water Management Program</t>
  </si>
  <si>
    <t>W_K.99999.03.16.06</t>
  </si>
  <si>
    <t>W_K.99999.03.16.06 - Water Management Program</t>
  </si>
  <si>
    <t>K.99999.03.15.02</t>
  </si>
  <si>
    <t>MTF Supervision and Support CC 5025A</t>
  </si>
  <si>
    <t>W_K.99999.03.15.02</t>
  </si>
  <si>
    <t>W_K.99999.03.15.02 - MTF Supervision and Support CC 5025A</t>
  </si>
  <si>
    <t>Mint Farm Generating Station</t>
  </si>
  <si>
    <t>K.99999.03.15.04</t>
  </si>
  <si>
    <t>MTF Combustion Turbine Maint</t>
  </si>
  <si>
    <t>W_K.99999.03.15.04</t>
  </si>
  <si>
    <t>W_K.99999.03.15.04 - MTF Combustion Turbine Maint</t>
  </si>
  <si>
    <t>K.99999.03.15.05</t>
  </si>
  <si>
    <t>MTF Compliance</t>
  </si>
  <si>
    <t>W_K.99999.03.15.05</t>
  </si>
  <si>
    <t>W_K.99999.03.15.05 - MTF Compliance</t>
  </si>
  <si>
    <t>K.99999.03.15.07</t>
  </si>
  <si>
    <t>MTF Corrective Maint</t>
  </si>
  <si>
    <t>W_K.99999.03.15.07</t>
  </si>
  <si>
    <t>W_K.99999.03.15.07 - MTF Corrective Maint</t>
  </si>
  <si>
    <t>K.99999.03.15.08</t>
  </si>
  <si>
    <t>MTF HRSG SCR Exhaust Duct Maint</t>
  </si>
  <si>
    <t>W_K.99999.03.15.08</t>
  </si>
  <si>
    <t>W_K.99999.03.15.08 - MTF HRSG SCR Exhaust Duct Maint</t>
  </si>
  <si>
    <t>K.99999.03.15.09</t>
  </si>
  <si>
    <t>MTF Other Plant Equipment Maint BOP</t>
  </si>
  <si>
    <t>W_K.99999.03.15.09</t>
  </si>
  <si>
    <t>W_K.99999.03.15.09 - MTF Other Plant Equipment Maint BOP</t>
  </si>
  <si>
    <t>K.99999.03.15.11</t>
  </si>
  <si>
    <t>MTF Plant Operations</t>
  </si>
  <si>
    <t>W_K.99999.03.15.11</t>
  </si>
  <si>
    <t>W_K.99999.03.15.11 - MTF Plant Operations</t>
  </si>
  <si>
    <t>K.99999.03.15.15</t>
  </si>
  <si>
    <t>MTF Steam Turbine Maint</t>
  </si>
  <si>
    <t>W_K.99999.03.15.15</t>
  </si>
  <si>
    <t>W_K.99999.03.15.15 - MTF Steam Turbine Maint</t>
  </si>
  <si>
    <t>K.99999.03.15.18</t>
  </si>
  <si>
    <t>MTF Water Treatmt Coolngtwr Cndsr Maint</t>
  </si>
  <si>
    <t>W_K.99999.03.15.18</t>
  </si>
  <si>
    <t>W_K.99999.03.15.18 - MTF Water Treatmt Coolngtwr Cndsr Maint</t>
  </si>
  <si>
    <t>CC_5024 - Director Generation</t>
  </si>
  <si>
    <t>K.99999.03.44.01</t>
  </si>
  <si>
    <t>GA N Supervison and Support CC 5024</t>
  </si>
  <si>
    <t>W_K.99999.03.44.01</t>
  </si>
  <si>
    <t>W_K.99999.03.44.01 - GA N Supervison and Support CC 5024</t>
  </si>
  <si>
    <t>Director Generation</t>
  </si>
  <si>
    <t>K.99999.03.14.02</t>
  </si>
  <si>
    <t>GLD Combustion Turbine Maint</t>
  </si>
  <si>
    <t>W_K.99999.03.14.02</t>
  </si>
  <si>
    <t>W_K.99999.03.14.02 - GLD Combustion Turbine Maint</t>
  </si>
  <si>
    <t>Goldendale Generating Station</t>
  </si>
  <si>
    <t>K.99999.03.14.05</t>
  </si>
  <si>
    <t>GLD Corrective Maint</t>
  </si>
  <si>
    <t>W_K.99999.03.14.05</t>
  </si>
  <si>
    <t>W_K.99999.03.14.05 - GLD Corrective Maint</t>
  </si>
  <si>
    <t>K.99999.03.14.08</t>
  </si>
  <si>
    <t>GLD Other Plant Equipment Maint BOP</t>
  </si>
  <si>
    <t>W_K.99999.03.14.08</t>
  </si>
  <si>
    <t>W_K.99999.03.14.08 - GLD Other Plant Equipment Maint BOP</t>
  </si>
  <si>
    <t>K.99999.03.14.10</t>
  </si>
  <si>
    <t>GLD Plant Operations</t>
  </si>
  <si>
    <t>W_K.99999.03.14.10</t>
  </si>
  <si>
    <t>W_K.99999.03.14.10 - GLD Plant Operations</t>
  </si>
  <si>
    <t>K.99999.03.14.15</t>
  </si>
  <si>
    <t>GLD Supervision and Support CC 5021A</t>
  </si>
  <si>
    <t>W_K.99999.03.14.15</t>
  </si>
  <si>
    <t>W_K.99999.03.14.15 - GLD Supervision and Support CC 5021A</t>
  </si>
  <si>
    <t>K.99999.03.14.18</t>
  </si>
  <si>
    <t>GLD Water Treatmt Coolngtwr Cndsr Maint</t>
  </si>
  <si>
    <t>W_K.99999.03.14.18</t>
  </si>
  <si>
    <t>W_K.99999.03.14.18 - GLD Water Treatmt Coolngtwr Cndsr Maint</t>
  </si>
  <si>
    <t>K.99999.03.13.05</t>
  </si>
  <si>
    <t>LIC Baker License Management</t>
  </si>
  <si>
    <t>W_K.99999.03.13.05</t>
  </si>
  <si>
    <t>W_K.99999.03.13.05 - LIC Baker License Management</t>
  </si>
  <si>
    <t>Resource Sciences &amp; Asset Management</t>
  </si>
  <si>
    <t>K.99999.03.13.19</t>
  </si>
  <si>
    <t>LIC SNO License Management</t>
  </si>
  <si>
    <t>W_K.99999.03.13.19</t>
  </si>
  <si>
    <t>W_K.99999.03.13.19 - LIC SNO License Management</t>
  </si>
  <si>
    <t>K.99999.03.13.43</t>
  </si>
  <si>
    <t>Generation Asset Management Program</t>
  </si>
  <si>
    <t>W_K.99999.03.13.43</t>
  </si>
  <si>
    <t>W_K.99999.03.13.43 - Generation Asset Management Program</t>
  </si>
  <si>
    <t>K.99999.03.12.02</t>
  </si>
  <si>
    <t>SMS Combustion Turbine Maint</t>
  </si>
  <si>
    <t>W_K.99999.03.12.02</t>
  </si>
  <si>
    <t>W_K.99999.03.12.02 - SMS Combustion Turbine Maint</t>
  </si>
  <si>
    <t>Sumas Generating Station</t>
  </si>
  <si>
    <t>K.99999.03.12.05</t>
  </si>
  <si>
    <t>SMS Corrective Maint</t>
  </si>
  <si>
    <t>W_K.99999.03.12.05</t>
  </si>
  <si>
    <t>W_K.99999.03.12.05 - SMS Corrective Maint</t>
  </si>
  <si>
    <t>K.99999.03.12.07</t>
  </si>
  <si>
    <t>SMS HRSG SCR Exhaust Duct Maint</t>
  </si>
  <si>
    <t>W_K.99999.03.12.07</t>
  </si>
  <si>
    <t>W_K.99999.03.12.07 - SMS HRSG SCR Exhaust Duct Maint</t>
  </si>
  <si>
    <t>K.99999.03.12.08</t>
  </si>
  <si>
    <t>SMS Other Plant Equipment Maint BOP</t>
  </si>
  <si>
    <t>W_K.99999.03.12.08</t>
  </si>
  <si>
    <t>W_K.99999.03.12.08 - SMS Other Plant Equipment Maint BOP</t>
  </si>
  <si>
    <t>K.99999.03.12.10</t>
  </si>
  <si>
    <t>SMS Plant Operations</t>
  </si>
  <si>
    <t>W_K.99999.03.12.10</t>
  </si>
  <si>
    <t>W_K.99999.03.12.10 - SMS Plant Operations</t>
  </si>
  <si>
    <t>K.99999.03.12.14</t>
  </si>
  <si>
    <t>SMS Steam Turbine Maint</t>
  </si>
  <si>
    <t>W_K.99999.03.12.14</t>
  </si>
  <si>
    <t>W_K.99999.03.12.14 - SMS Steam Turbine Maint</t>
  </si>
  <si>
    <t>K.99999.03.12.15</t>
  </si>
  <si>
    <t>SMS Supervision and Support CC 5019A</t>
  </si>
  <si>
    <t>W_K.99999.03.12.15</t>
  </si>
  <si>
    <t>W_K.99999.03.12.15 - SMS Supervision and Support CC 5019A</t>
  </si>
  <si>
    <t>K.99999.03.12.18</t>
  </si>
  <si>
    <t>SMS Water Treatmt Coolngtwr Cndsr Maint</t>
  </si>
  <si>
    <t>W_K.99999.03.12.18</t>
  </si>
  <si>
    <t>W_K.99999.03.12.18 - SMS Water Treatmt Coolngtwr Cndsr Maint</t>
  </si>
  <si>
    <t>K.99999.03.10.02</t>
  </si>
  <si>
    <t>ENC Combustion Turbine Maint</t>
  </si>
  <si>
    <t>W_K.99999.03.10.02</t>
  </si>
  <si>
    <t>W_K.99999.03.10.02 - ENC Combustion Turbine Maint</t>
  </si>
  <si>
    <t>Encogen Generating Plant</t>
  </si>
  <si>
    <t>K.99999.03.10.03</t>
  </si>
  <si>
    <t>ENC Compliance</t>
  </si>
  <si>
    <t>W_K.99999.03.10.03</t>
  </si>
  <si>
    <t>W_K.99999.03.10.03 - ENC Compliance</t>
  </si>
  <si>
    <t>K.99999.03.10.05</t>
  </si>
  <si>
    <t>ENC Corrective Maint</t>
  </si>
  <si>
    <t>W_K.99999.03.10.05</t>
  </si>
  <si>
    <t>W_K.99999.03.10.05 - ENC Corrective Maint</t>
  </si>
  <si>
    <t>K.99999.03.10.07</t>
  </si>
  <si>
    <t>ENC HRSG SCR Exhaust Duct Maint</t>
  </si>
  <si>
    <t>W_K.99999.03.10.07</t>
  </si>
  <si>
    <t>W_K.99999.03.10.07 - ENC HRSG SCR Exhaust Duct Maint</t>
  </si>
  <si>
    <t>K.99999.03.10.08</t>
  </si>
  <si>
    <t>ENC Other Plant Equipment Maint BOP</t>
  </si>
  <si>
    <t>W_K.99999.03.10.08</t>
  </si>
  <si>
    <t>W_K.99999.03.10.08 - ENC Other Plant Equipment Maint BOP</t>
  </si>
  <si>
    <t>K.99999.03.10.10</t>
  </si>
  <si>
    <t>ENC Plant Operations</t>
  </si>
  <si>
    <t>W_K.99999.03.10.10</t>
  </si>
  <si>
    <t>W_K.99999.03.10.10 - ENC Plant Operations</t>
  </si>
  <si>
    <t>K.99999.03.10.13</t>
  </si>
  <si>
    <t>ENC Steam Turbine Maint</t>
  </si>
  <si>
    <t>W_K.99999.03.10.13</t>
  </si>
  <si>
    <t>W_K.99999.03.10.13 - ENC Steam Turbine Maint</t>
  </si>
  <si>
    <t>K.99999.03.10.14</t>
  </si>
  <si>
    <t>ENC Supervsion and Support CC 5017A</t>
  </si>
  <si>
    <t>W_K.99999.03.10.14</t>
  </si>
  <si>
    <t>W_K.99999.03.10.14 - ENC Supervsion and Support CC 5017A</t>
  </si>
  <si>
    <t>K.99999.03.10.17</t>
  </si>
  <si>
    <t>ENC Water Treatmt Coolngtwr Cndsr Maint</t>
  </si>
  <si>
    <t>W_K.99999.03.10.17</t>
  </si>
  <si>
    <t>W_K.99999.03.10.17 - ENC Water Treatmt Coolngtwr Cndsr Maint</t>
  </si>
  <si>
    <t>K.99999.03.36.01</t>
  </si>
  <si>
    <t>SCP Supervision and Support CC 5009A</t>
  </si>
  <si>
    <t>W_K.99999.03.36.01</t>
  </si>
  <si>
    <t>W_K.99999.03.36.01 - SCP Supervision and Support CC 5009A</t>
  </si>
  <si>
    <t>Simple Cycle Plants</t>
  </si>
  <si>
    <t>K.99999.03.37.06</t>
  </si>
  <si>
    <t>CMN Plant Operations</t>
  </si>
  <si>
    <t>W_K.99999.03.37.06</t>
  </si>
  <si>
    <t>W_K.99999.03.37.06 - CMN Plant Operations</t>
  </si>
  <si>
    <t>K.99999.03.38.01</t>
  </si>
  <si>
    <t>FRE Combustion Turbine Maint</t>
  </si>
  <si>
    <t>W_K.99999.03.38.01</t>
  </si>
  <si>
    <t>W_K.99999.03.38.01 - FRE Combustion Turbine Maint</t>
  </si>
  <si>
    <t>K.99999.03.38.02</t>
  </si>
  <si>
    <t>FRE Compliance</t>
  </si>
  <si>
    <t>W_K.99999.03.38.02</t>
  </si>
  <si>
    <t>W_K.99999.03.38.02 - FRE Compliance</t>
  </si>
  <si>
    <t>K.99999.03.38.04</t>
  </si>
  <si>
    <t>FRE Corrective Maint</t>
  </si>
  <si>
    <t>W_K.99999.03.38.04</t>
  </si>
  <si>
    <t>W_K.99999.03.38.04 - FRE Corrective Maint</t>
  </si>
  <si>
    <t>K.99999.03.38.06</t>
  </si>
  <si>
    <t>FRE Other Plant Equipment Maint BOP</t>
  </si>
  <si>
    <t>W_K.99999.03.38.06</t>
  </si>
  <si>
    <t>W_K.99999.03.38.06 - FRE Other Plant Equipment Maint BOP</t>
  </si>
  <si>
    <t>K.99999.03.38.08</t>
  </si>
  <si>
    <t>FRE Plant Operations</t>
  </si>
  <si>
    <t>W_K.99999.03.38.08</t>
  </si>
  <si>
    <t>W_K.99999.03.38.08 - FRE Plant Operations</t>
  </si>
  <si>
    <t>K.99999.03.39.01</t>
  </si>
  <si>
    <t>FRA Combustion Turbine Maint</t>
  </si>
  <si>
    <t>W_K.99999.03.39.01</t>
  </si>
  <si>
    <t>W_K.99999.03.39.01 - FRA Combustion Turbine Maint</t>
  </si>
  <si>
    <t>K.99999.03.39.02</t>
  </si>
  <si>
    <t>FRA Compliance</t>
  </si>
  <si>
    <t>W_K.99999.03.39.02</t>
  </si>
  <si>
    <t>W_K.99999.03.39.02 - FRA Compliance</t>
  </si>
  <si>
    <t>K.99999.03.39.04</t>
  </si>
  <si>
    <t>FRA Corrective Maint</t>
  </si>
  <si>
    <t>W_K.99999.03.39.04</t>
  </si>
  <si>
    <t>W_K.99999.03.39.04 - FRA Corrective Maint</t>
  </si>
  <si>
    <t>K.99999.03.39.07</t>
  </si>
  <si>
    <t>FRA Other Plant Equipment Maint BOP</t>
  </si>
  <si>
    <t>W_K.99999.03.39.07</t>
  </si>
  <si>
    <t>W_K.99999.03.39.07 - FRA Other Plant Equipment Maint BOP</t>
  </si>
  <si>
    <t>K.99999.03.39.09</t>
  </si>
  <si>
    <t>FRA Plant Operations</t>
  </si>
  <si>
    <t>W_K.99999.03.39.09</t>
  </si>
  <si>
    <t>W_K.99999.03.39.09 - FRA Plant Operations</t>
  </si>
  <si>
    <t>K.99999.03.40.01</t>
  </si>
  <si>
    <t>WHH Glacier Battery Proj Ops and Maint</t>
  </si>
  <si>
    <t>W_K.99999.03.40.01</t>
  </si>
  <si>
    <t>W_K.99999.03.40.01 - WHH Glacier Battery Proj Ops and Maint</t>
  </si>
  <si>
    <t>K.99999.03.40.02</t>
  </si>
  <si>
    <t>WHH Combustion Turbine Maint</t>
  </si>
  <si>
    <t>W_K.99999.03.40.02</t>
  </si>
  <si>
    <t>W_K.99999.03.40.02 - WHH Combustion Turbine Maint</t>
  </si>
  <si>
    <t>K.99999.03.40.03</t>
  </si>
  <si>
    <t>WHH Compliance</t>
  </si>
  <si>
    <t>W_K.99999.03.40.03</t>
  </si>
  <si>
    <t>W_K.99999.03.40.03 - WHH Compliance</t>
  </si>
  <si>
    <t>K.99999.03.40.05</t>
  </si>
  <si>
    <t>WHH Corrective Maint</t>
  </si>
  <si>
    <t>W_K.99999.03.40.05</t>
  </si>
  <si>
    <t>W_K.99999.03.40.05 - WHH Corrective Maint</t>
  </si>
  <si>
    <t>K.99999.03.40.08</t>
  </si>
  <si>
    <t>WHH Other Plant Equipment Maint BOP</t>
  </si>
  <si>
    <t>W_K.99999.03.40.08</t>
  </si>
  <si>
    <t>W_K.99999.03.40.08 - WHH Other Plant Equipment Maint BOP</t>
  </si>
  <si>
    <t>K.99999.03.40.10</t>
  </si>
  <si>
    <t>WHH Plant Operations</t>
  </si>
  <si>
    <t>W_K.99999.03.40.10</t>
  </si>
  <si>
    <t>W_K.99999.03.40.10 - WHH Plant Operations</t>
  </si>
  <si>
    <t>K.99999.03.40.12</t>
  </si>
  <si>
    <t>WHH Utility Cost and GrndsBldgJanitorial</t>
  </si>
  <si>
    <t>W_K.99999.03.40.12</t>
  </si>
  <si>
    <t>W_K.99999.03.40.12 - WHH Utility Cost and GrndsBldgJanitorial</t>
  </si>
  <si>
    <t>CC_5008 - Director Generation &amp; Natural Gas</t>
  </si>
  <si>
    <t>K.99999.03.45.01</t>
  </si>
  <si>
    <t>GA S Supervison and Support CC 5008</t>
  </si>
  <si>
    <t>W_K.99999.03.45.01</t>
  </si>
  <si>
    <t>W_K.99999.03.45.01 - GA S Supervison and Support CC 5008</t>
  </si>
  <si>
    <t>Director Generation &amp; Natural Gas</t>
  </si>
  <si>
    <t>NonLbr</t>
  </si>
  <si>
    <t>Corporate Memberships</t>
  </si>
  <si>
    <t>K.99999.03.28.03</t>
  </si>
  <si>
    <t>WLD Environmental and Compliance</t>
  </si>
  <si>
    <t>W_K.99999.03.28.03</t>
  </si>
  <si>
    <t>W_K.99999.03.28.03 - WLD Environmental and Compliance</t>
  </si>
  <si>
    <t>Employee Expense</t>
  </si>
  <si>
    <t>K.99999.03.26.04</t>
  </si>
  <si>
    <t>HPK Communication Site Services</t>
  </si>
  <si>
    <t>W_K.99999.03.26.04</t>
  </si>
  <si>
    <t>W_K.99999.03.26.04 - HPK Communication Site Services</t>
  </si>
  <si>
    <t>K.99999.03.26.05</t>
  </si>
  <si>
    <t>HPK Environmental and Compliance</t>
  </si>
  <si>
    <t>W_K.99999.03.26.05</t>
  </si>
  <si>
    <t>W_K.99999.03.26.05 - HPK Environmental and Compliance</t>
  </si>
  <si>
    <t>K.99999.03.27.04</t>
  </si>
  <si>
    <t>LSR1 Communication Site Services</t>
  </si>
  <si>
    <t>W_K.99999.03.27.04</t>
  </si>
  <si>
    <t>W_K.99999.03.27.04 - LSR1 Communication Site Services</t>
  </si>
  <si>
    <t>K.99999.03.27.05</t>
  </si>
  <si>
    <t>LSR1 Environmental and Compliance</t>
  </si>
  <si>
    <t>W_K.99999.03.27.05</t>
  </si>
  <si>
    <t>W_K.99999.03.27.05 - LSR1 Environmental and Compliance</t>
  </si>
  <si>
    <t>K.99999.03.27.13</t>
  </si>
  <si>
    <t>LSR1 Substation Maintenance</t>
  </si>
  <si>
    <t>W_K.99999.03.27.13</t>
  </si>
  <si>
    <t>W_K.99999.03.27.13 - LSR1 Substation Maintenance</t>
  </si>
  <si>
    <t>K.99999.03.14.03</t>
  </si>
  <si>
    <t>GLD Compliance</t>
  </si>
  <si>
    <t>W_K.99999.03.14.03</t>
  </si>
  <si>
    <t>W_K.99999.03.14.03 - GLD Compliance</t>
  </si>
  <si>
    <t>K.99999.03.13.08</t>
  </si>
  <si>
    <t>LIC Baker Cultural Historic Resources</t>
  </si>
  <si>
    <t>W_K.99999.03.13.08</t>
  </si>
  <si>
    <t>W_K.99999.03.13.08 - LIC Baker Cultural Historic Resources</t>
  </si>
  <si>
    <t>K.99999.03.13.17</t>
  </si>
  <si>
    <t>LIC Baker Aquatic Resources</t>
  </si>
  <si>
    <t>W_K.99999.03.13.17</t>
  </si>
  <si>
    <t>W_K.99999.03.13.17 - LIC Baker Aquatic Resources</t>
  </si>
  <si>
    <t>Incentive OH</t>
  </si>
  <si>
    <t>LBR</t>
  </si>
  <si>
    <t>Labor</t>
  </si>
  <si>
    <t>Labor Overtime</t>
  </si>
  <si>
    <t>Materials&amp;Supplies Dir Purch</t>
  </si>
  <si>
    <t>K.99999.03.28.08</t>
  </si>
  <si>
    <t>WLD Road Fence and Grounds Services</t>
  </si>
  <si>
    <t>W_K.99999.03.28.08</t>
  </si>
  <si>
    <t>W_K.99999.03.28.08 - WLD Road Fence and Grounds Services</t>
  </si>
  <si>
    <t>K.99999.03.26.03</t>
  </si>
  <si>
    <t>HPK Backfeed Power</t>
  </si>
  <si>
    <t>W_K.99999.03.26.03</t>
  </si>
  <si>
    <t>W_K.99999.03.26.03 - HPK Backfeed Power</t>
  </si>
  <si>
    <t>K.99999.03.26.09</t>
  </si>
  <si>
    <t>HPK Road Fence and Grounds Services</t>
  </si>
  <si>
    <t>W_K.99999.03.26.09</t>
  </si>
  <si>
    <t>W_K.99999.03.26.09 - HPK Road Fence and Grounds Services</t>
  </si>
  <si>
    <t>K.99999.03.27.03</t>
  </si>
  <si>
    <t>LSR1 Backfeed Power</t>
  </si>
  <si>
    <t>W_K.99999.03.27.03</t>
  </si>
  <si>
    <t>W_K.99999.03.27.03 - LSR1 Backfeed Power</t>
  </si>
  <si>
    <t>K.99999.03.27.09</t>
  </si>
  <si>
    <t>LSR1 Road Fence and Grounds Services</t>
  </si>
  <si>
    <t>W_K.99999.03.27.09</t>
  </si>
  <si>
    <t>W_K.99999.03.27.09 - LSR1 Road Fence and Grounds Services</t>
  </si>
  <si>
    <t>K.99999.03.23.01</t>
  </si>
  <si>
    <t>SNO Corrective Maintenance</t>
  </si>
  <si>
    <t>W_K.99999.03.23.01</t>
  </si>
  <si>
    <t>W_K.99999.03.23.01 - SNO Corrective Maintenance</t>
  </si>
  <si>
    <t>K.99999.03.15.06</t>
  </si>
  <si>
    <t>MTF Consumables</t>
  </si>
  <si>
    <t>W_K.99999.03.15.06</t>
  </si>
  <si>
    <t>W_K.99999.03.15.06 - MTF Consumables</t>
  </si>
  <si>
    <t>K.99999.03.15.10</t>
  </si>
  <si>
    <t>MTF Plant Chemicals</t>
  </si>
  <si>
    <t>W_K.99999.03.15.10</t>
  </si>
  <si>
    <t>W_K.99999.03.15.10 - MTF Plant Chemicals</t>
  </si>
  <si>
    <t>K.99999.03.15.14</t>
  </si>
  <si>
    <t>MTF Station Power and Water</t>
  </si>
  <si>
    <t>W_K.99999.03.15.14</t>
  </si>
  <si>
    <t>W_K.99999.03.15.14 - MTF Station Power and Water</t>
  </si>
  <si>
    <t>K.99999.03.14.04</t>
  </si>
  <si>
    <t>GLD Consumables</t>
  </si>
  <si>
    <t>W_K.99999.03.14.04</t>
  </si>
  <si>
    <t>W_K.99999.03.14.04 - GLD Consumables</t>
  </si>
  <si>
    <t>K.99999.03.14.09</t>
  </si>
  <si>
    <t>GLD Plant Chemicals</t>
  </si>
  <si>
    <t>W_K.99999.03.14.09</t>
  </si>
  <si>
    <t>W_K.99999.03.14.09 - GLD Plant Chemicals</t>
  </si>
  <si>
    <t>K.99999.03.14.13</t>
  </si>
  <si>
    <t>GLD Station Power and Water</t>
  </si>
  <si>
    <t>W_K.99999.03.14.13</t>
  </si>
  <si>
    <t>W_K.99999.03.14.13 - GLD Station Power and Water</t>
  </si>
  <si>
    <t>K.99999.03.14.14</t>
  </si>
  <si>
    <t>GLD Steam Turbine Maint</t>
  </si>
  <si>
    <t>W_K.99999.03.14.14</t>
  </si>
  <si>
    <t>W_K.99999.03.14.14 - GLD Steam Turbine Maint</t>
  </si>
  <si>
    <t>K.99999.03.14.17</t>
  </si>
  <si>
    <t>GLD Utility Cost and GrndsBldgJanitorial</t>
  </si>
  <si>
    <t>W_K.99999.03.14.17</t>
  </si>
  <si>
    <t>W_K.99999.03.14.17 - GLD Utility Cost and GrndsBldgJanitorial</t>
  </si>
  <si>
    <t>K.99999.03.13.13</t>
  </si>
  <si>
    <t>LIC Baker Delivered Terrestrial Articles</t>
  </si>
  <si>
    <t>W_K.99999.03.13.13</t>
  </si>
  <si>
    <t>W_K.99999.03.13.13 - LIC Baker Delivered Terrestrial Articles</t>
  </si>
  <si>
    <t>K.99999.03.12.03</t>
  </si>
  <si>
    <t>SMS Compliance</t>
  </si>
  <si>
    <t>W_K.99999.03.12.03</t>
  </si>
  <si>
    <t>W_K.99999.03.12.03 - SMS Compliance</t>
  </si>
  <si>
    <t>K.99999.03.12.04</t>
  </si>
  <si>
    <t>SMS Consumables</t>
  </si>
  <si>
    <t>W_K.99999.03.12.04</t>
  </si>
  <si>
    <t>W_K.99999.03.12.04 - SMS Consumables</t>
  </si>
  <si>
    <t>K.99999.03.12.09</t>
  </si>
  <si>
    <t>SMS Plant Chemicals</t>
  </si>
  <si>
    <t>W_K.99999.03.12.09</t>
  </si>
  <si>
    <t>W_K.99999.03.12.09 - SMS Plant Chemicals</t>
  </si>
  <si>
    <t>K.99999.03.12.13</t>
  </si>
  <si>
    <t>SMS Station Power and Water</t>
  </si>
  <si>
    <t>W_K.99999.03.12.13</t>
  </si>
  <si>
    <t>W_K.99999.03.12.13 - SMS Station Power and Water</t>
  </si>
  <si>
    <t>K.99999.03.10.04</t>
  </si>
  <si>
    <t>ENC Consumables</t>
  </si>
  <si>
    <t>W_K.99999.03.10.04</t>
  </si>
  <si>
    <t>W_K.99999.03.10.04 - ENC Consumables</t>
  </si>
  <si>
    <t>K.99999.03.10.09</t>
  </si>
  <si>
    <t>ENC Plant Chemicals</t>
  </si>
  <si>
    <t>W_K.99999.03.10.09</t>
  </si>
  <si>
    <t>W_K.99999.03.10.09 - ENC Plant Chemicals</t>
  </si>
  <si>
    <t>K.99999.03.10.12</t>
  </si>
  <si>
    <t>ENC Station Power and Water</t>
  </si>
  <si>
    <t>W_K.99999.03.10.12</t>
  </si>
  <si>
    <t>W_K.99999.03.10.12 - ENC Station Power and Water</t>
  </si>
  <si>
    <t>K.99999.03.10.16</t>
  </si>
  <si>
    <t>ENC Utility Cost and GrndsBldgJanitorial</t>
  </si>
  <si>
    <t>W_K.99999.03.10.16</t>
  </si>
  <si>
    <t>W_K.99999.03.10.16 - ENC Utility Cost and GrndsBldgJanitorial</t>
  </si>
  <si>
    <t>K.99999.03.37.01</t>
  </si>
  <si>
    <t>CMN Combustion Turbine Maint</t>
  </si>
  <si>
    <t>W_K.99999.03.37.01</t>
  </si>
  <si>
    <t>W_K.99999.03.37.01 - CMN Combustion Turbine Maint</t>
  </si>
  <si>
    <t>K.99999.03.37.04</t>
  </si>
  <si>
    <t>CMN Corrective Maint</t>
  </si>
  <si>
    <t>W_K.99999.03.37.04</t>
  </si>
  <si>
    <t>W_K.99999.03.37.04 - CMN Corrective Maint</t>
  </si>
  <si>
    <t>K.99999.03.38.03</t>
  </si>
  <si>
    <t>FRE Consumables</t>
  </si>
  <si>
    <t>W_K.99999.03.38.03</t>
  </si>
  <si>
    <t>W_K.99999.03.38.03 - FRE Consumables</t>
  </si>
  <si>
    <t>K.99999.03.38.07</t>
  </si>
  <si>
    <t>FRE Plant Chemicals</t>
  </si>
  <si>
    <t>W_K.99999.03.38.07</t>
  </si>
  <si>
    <t>W_K.99999.03.38.07 - FRE Plant Chemicals</t>
  </si>
  <si>
    <t>K.99999.03.38.09</t>
  </si>
  <si>
    <t>FRE Utility Cost and GrndsBldgJanitorial</t>
  </si>
  <si>
    <t>W_K.99999.03.38.09</t>
  </si>
  <si>
    <t>W_K.99999.03.38.09 - FRE Utility Cost and GrndsBldgJanitorial</t>
  </si>
  <si>
    <t>K.99999.03.38.10</t>
  </si>
  <si>
    <t>FRE Water Treatment System Maint</t>
  </si>
  <si>
    <t>W_K.99999.03.38.10</t>
  </si>
  <si>
    <t>W_K.99999.03.38.10 - FRE Water Treatment System Maint</t>
  </si>
  <si>
    <t>K.99999.03.39.03</t>
  </si>
  <si>
    <t>FRA Consumables</t>
  </si>
  <si>
    <t>W_K.99999.03.39.03</t>
  </si>
  <si>
    <t>W_K.99999.03.39.03 - FRA Consumables</t>
  </si>
  <si>
    <t>K.99999.03.39.06</t>
  </si>
  <si>
    <t>FRA HRSG SCR Exhaust Duct Maint</t>
  </si>
  <si>
    <t>W_K.99999.03.39.06</t>
  </si>
  <si>
    <t>W_K.99999.03.39.06 - FRA HRSG SCR Exhaust Duct Maint</t>
  </si>
  <si>
    <t>K.99999.03.39.08</t>
  </si>
  <si>
    <t>FRA Plant Chemicals</t>
  </si>
  <si>
    <t>W_K.99999.03.39.08</t>
  </si>
  <si>
    <t>W_K.99999.03.39.08 - FRA Plant Chemicals</t>
  </si>
  <si>
    <t>K.99999.03.39.10</t>
  </si>
  <si>
    <t>FRA Station Power and Water</t>
  </si>
  <si>
    <t>W_K.99999.03.39.10</t>
  </si>
  <si>
    <t>W_K.99999.03.39.10 - FRA Station Power and Water</t>
  </si>
  <si>
    <t>K.99999.03.39.11</t>
  </si>
  <si>
    <t>FRA Utility Cost and GrndsBldgJanitorial</t>
  </si>
  <si>
    <t>W_K.99999.03.39.11</t>
  </si>
  <si>
    <t>W_K.99999.03.39.11 - FRA Utility Cost and GrndsBldgJanitorial</t>
  </si>
  <si>
    <t>K.99999.03.39.12</t>
  </si>
  <si>
    <t>FRA Water Treatment System Maint</t>
  </si>
  <si>
    <t>W_K.99999.03.39.12</t>
  </si>
  <si>
    <t>W_K.99999.03.39.12 - FRA Water Treatment System Maint</t>
  </si>
  <si>
    <t>K.99999.03.40.04</t>
  </si>
  <si>
    <t>WHH Consumables</t>
  </si>
  <si>
    <t>W_K.99999.03.40.04</t>
  </si>
  <si>
    <t>W_K.99999.03.40.04 - WHH Consumables</t>
  </si>
  <si>
    <t>K.99999.03.40.07</t>
  </si>
  <si>
    <t>WHH HRSG SCR Exhaust Duct Maint</t>
  </si>
  <si>
    <t>W_K.99999.03.40.07</t>
  </si>
  <si>
    <t>W_K.99999.03.40.07 - WHH HRSG SCR Exhaust Duct Maint</t>
  </si>
  <si>
    <t>K.99999.03.40.09</t>
  </si>
  <si>
    <t>WHH Plant Chemicals</t>
  </si>
  <si>
    <t>W_K.99999.03.40.09</t>
  </si>
  <si>
    <t>W_K.99999.03.40.09 - WHH Plant Chemicals</t>
  </si>
  <si>
    <t>K.99999.03.40.13</t>
  </si>
  <si>
    <t>WHH Water Treatment System Maint</t>
  </si>
  <si>
    <t>W_K.99999.03.40.13</t>
  </si>
  <si>
    <t>W_K.99999.03.40.13 - WHH Water Treatment System Maint</t>
  </si>
  <si>
    <t>Materials&amp;Supplies-Stores Iss</t>
  </si>
  <si>
    <t>K.99999.03.28.05</t>
  </si>
  <si>
    <t>WLD Lease and Royalty Payments</t>
  </si>
  <si>
    <t>W_K.99999.03.28.05</t>
  </si>
  <si>
    <t>W_K.99999.03.28.05 - WLD Lease and Royalty Payments</t>
  </si>
  <si>
    <t>Miscellaneous Expense</t>
  </si>
  <si>
    <t>Office and Supplies</t>
  </si>
  <si>
    <t>K.99999.03.15.17</t>
  </si>
  <si>
    <t>MTF Utility Cost and GrndsBldgJanitorial</t>
  </si>
  <si>
    <t>W_K.99999.03.15.17</t>
  </si>
  <si>
    <t>W_K.99999.03.15.17 - MTF Utility Cost and GrndsBldgJanitorial</t>
  </si>
  <si>
    <t>Outside Services Other</t>
  </si>
  <si>
    <t>K.99999.03.26.16</t>
  </si>
  <si>
    <t>HPK Wind Turbine Contracted Maintenance</t>
  </si>
  <si>
    <t>W_K.99999.03.26.16</t>
  </si>
  <si>
    <t>W_K.99999.03.26.16 - HPK Wind Turbine Contracted Maintenance</t>
  </si>
  <si>
    <t>K.99999.03.14.07</t>
  </si>
  <si>
    <t>GLD HRSG SCR Exhaust Duct Maint</t>
  </si>
  <si>
    <t>W_K.99999.03.14.07</t>
  </si>
  <si>
    <t>W_K.99999.03.14.07 - GLD HRSG SCR Exhaust Duct Maint</t>
  </si>
  <si>
    <t>K.99999.03.12.17</t>
  </si>
  <si>
    <t>SMS Utility Cost and GrndsBldgJanitorial</t>
  </si>
  <si>
    <t>W_K.99999.03.12.17</t>
  </si>
  <si>
    <t>W_K.99999.03.12.17 - SMS Utility Cost and GrndsBldgJanitorial</t>
  </si>
  <si>
    <t>K.99999.03.12.19</t>
  </si>
  <si>
    <t>SMS Gas Pipeline Maint Insp</t>
  </si>
  <si>
    <t>W_K.99999.03.12.19</t>
  </si>
  <si>
    <t>W_K.99999.03.12.19 - SMS Gas Pipeline Maint Insp</t>
  </si>
  <si>
    <t>K.99999.03.37.02</t>
  </si>
  <si>
    <t>CMN Compliance</t>
  </si>
  <si>
    <t>W_K.99999.03.37.02</t>
  </si>
  <si>
    <t>W_K.99999.03.37.02 - CMN Compliance</t>
  </si>
  <si>
    <t>K.99999.03.38.11</t>
  </si>
  <si>
    <t>FRE HRSG SCR Exhaust Duct Maint</t>
  </si>
  <si>
    <t>W_K.99999.03.38.11</t>
  </si>
  <si>
    <t>W_K.99999.03.38.11 - FRE HRSG SCR Exhaust Duct Maint</t>
  </si>
  <si>
    <t>K.99999.03.28.16</t>
  </si>
  <si>
    <t>WLD Wind Turbine Contracted Maintenance</t>
  </si>
  <si>
    <t>W_K.99999.03.28.16</t>
  </si>
  <si>
    <t>W_K.99999.03.28.16 - WLD Wind Turbine Contracted Maintenance</t>
  </si>
  <si>
    <t>Outside Services-Service Prov</t>
  </si>
  <si>
    <t>K.99999.03.27.16</t>
  </si>
  <si>
    <t>LSR1 Wind Turbine Contracted Maintenance</t>
  </si>
  <si>
    <t>W_K.99999.03.27.16</t>
  </si>
  <si>
    <t>W_K.99999.03.27.16 - LSR1 Wind Turbine Contracted Maintenance</t>
  </si>
  <si>
    <t>K.99999.03.15.13</t>
  </si>
  <si>
    <t>MTF Service Agreements Maint</t>
  </si>
  <si>
    <t>W_K.99999.03.15.13</t>
  </si>
  <si>
    <t>W_K.99999.03.15.13 - MTF Service Agreements Maint</t>
  </si>
  <si>
    <t>K.99999.03.14.12</t>
  </si>
  <si>
    <t>GLD Service Agreements Maint</t>
  </si>
  <si>
    <t>W_K.99999.03.14.12</t>
  </si>
  <si>
    <t>W_K.99999.03.14.12 - GLD Service Agreements Maint</t>
  </si>
  <si>
    <t>K.99999.03.09.01</t>
  </si>
  <si>
    <t>FERN Combustion Turbine Maint</t>
  </si>
  <si>
    <t>W_K.99999.03.09.01</t>
  </si>
  <si>
    <t>W_K.99999.03.09.01 - FERN Combustion Turbine Maint</t>
  </si>
  <si>
    <t>Joint Generation</t>
  </si>
  <si>
    <t>K.99999.03.09.11</t>
  </si>
  <si>
    <t>FERN Plant Operations</t>
  </si>
  <si>
    <t>W_K.99999.03.09.11</t>
  </si>
  <si>
    <t>W_K.99999.03.09.11 - FERN Plant Operations</t>
  </si>
  <si>
    <t>K.99999.03.24.05</t>
  </si>
  <si>
    <t>COL U3 U4 Maintenance</t>
  </si>
  <si>
    <t>W_K.99999.03.24.05</t>
  </si>
  <si>
    <t>W_K.99999.03.24.05 - COL U3 U4 Maintenance</t>
  </si>
  <si>
    <t>K.99999.03.24.06</t>
  </si>
  <si>
    <t>COL U3 U4 Operations</t>
  </si>
  <si>
    <t>W_K.99999.03.24.06</t>
  </si>
  <si>
    <t>W_K.99999.03.24.06 - COL U3 U4 Operations</t>
  </si>
  <si>
    <t>K.99999.03.24.09</t>
  </si>
  <si>
    <t>Fredrickson 1 Maintenance</t>
  </si>
  <si>
    <t>W_K.99999.03.24.09</t>
  </si>
  <si>
    <t>W_K.99999.03.24.09 - Fredrickson 1 Maintenance</t>
  </si>
  <si>
    <t>K.99999.03.24.10</t>
  </si>
  <si>
    <t>Fredrickson 1 Operations</t>
  </si>
  <si>
    <t>W_K.99999.03.24.10</t>
  </si>
  <si>
    <t>W_K.99999.03.24.10 - Fredrickson 1 Operations</t>
  </si>
  <si>
    <t>OH_Othr</t>
  </si>
  <si>
    <t>Overhead Stores Issues</t>
  </si>
  <si>
    <t>Payroll Taxes OH</t>
  </si>
  <si>
    <t>PTO OH</t>
  </si>
  <si>
    <t>Regulatory Fees and Permits</t>
  </si>
  <si>
    <t>K.99999.03.13.09</t>
  </si>
  <si>
    <t>LIC Baker External Pymt USFS Tribal Town</t>
  </si>
  <si>
    <t>W_K.99999.03.13.09</t>
  </si>
  <si>
    <t>W_K.99999.03.13.09 - LIC Baker External Pymt USFS Tribal Town</t>
  </si>
  <si>
    <t>Rent/Lease</t>
  </si>
  <si>
    <t>K.99999.03.26.07</t>
  </si>
  <si>
    <t>HPK Lease and Royalty Payments</t>
  </si>
  <si>
    <t>W_K.99999.03.26.07</t>
  </si>
  <si>
    <t>W_K.99999.03.26.07 - HPK Lease and Royalty Payments</t>
  </si>
  <si>
    <t>K.99999.03.27.07</t>
  </si>
  <si>
    <t>LSR1 Lease and Royalty Payments</t>
  </si>
  <si>
    <t>W_K.99999.03.27.07</t>
  </si>
  <si>
    <t>W_K.99999.03.27.07 - LSR1 Lease and Royalty Payments</t>
  </si>
  <si>
    <t>Transportation</t>
  </si>
  <si>
    <t>Transportation OH</t>
  </si>
  <si>
    <t>Production O&amp;M Benefits</t>
  </si>
  <si>
    <t>Production O&amp;M Payroll Taxes</t>
  </si>
  <si>
    <t xml:space="preserve">   Total Benefits and Taxes</t>
  </si>
  <si>
    <t>Jun 2021 TY</t>
  </si>
  <si>
    <t>Filtered Here</t>
  </si>
  <si>
    <t>Rate year: January 2023 through December 2023</t>
  </si>
  <si>
    <t>Gas price date: 12/01/2021</t>
  </si>
  <si>
    <t>2024 U3 Bearing, Replacement Pelton Nozzles, 2025 Accumulator Tanks and Pelton Greasless bushings</t>
  </si>
  <si>
    <t>2023:  Req. Inspections, Cathodic Prodection Repairs, HP Steam Flow Trans, 2024:  HP Steam Flow Trans, Mud Drum Supports, 2025:  Req. Inspections, Cooling Twr Upper Deck</t>
  </si>
  <si>
    <t>2023:  U2 Gen Minor, Recoat Demin Tank, 10yr  API Inspection</t>
  </si>
  <si>
    <t>Amortization increased $1.2M due to 2021 HGP and 2022 steam turbine minor</t>
  </si>
  <si>
    <t>Amortization increased $1.5M due to 2021 steam turbine full-scale inspection and 2022 CT HGP inspection.</t>
  </si>
  <si>
    <t>2023:  HRH St Vlv, Stack Internals, HP Byass Vlv, Heat Trace 2024 CT Board Replacement, Heat Trace 2025:  HRSG Roof Replacement, Gas Pipeline Pigging</t>
  </si>
  <si>
    <t>Test Year June 2021 Tax and Benefit</t>
  </si>
  <si>
    <t>% of TY total 557</t>
  </si>
  <si>
    <t>Less:</t>
  </si>
  <si>
    <t>SAP Total</t>
  </si>
  <si>
    <t>55700647  4310- EIM Outside Services</t>
  </si>
  <si>
    <t>55700550  5301 - Other Energy Expense - Electric</t>
  </si>
  <si>
    <t>55700549  1148-Energy Acctng O&amp;M Power Costs</t>
  </si>
  <si>
    <t>55700547  6005 Portfolio Hedging Power Cost</t>
  </si>
  <si>
    <t>55700546  6003 - Supervison &amp; Support</t>
  </si>
  <si>
    <t>55700545  6003 - General &amp; Administrative</t>
  </si>
  <si>
    <t>55700544  6003 - Energy Supply Power Cost</t>
  </si>
  <si>
    <t>55700543  5360 Supervision &amp; Support</t>
  </si>
  <si>
    <t>55700542  5360 General &amp; Administrative</t>
  </si>
  <si>
    <t>55700541  5360 Power Supply PC</t>
  </si>
  <si>
    <t>55700540  5329 - Other Power Costs-Energy Delivery</t>
  </si>
  <si>
    <t>55700539  5329 - Other Power Costs - EIM Proj</t>
  </si>
  <si>
    <t>55700538  S-Mid Columbia-Other Energy Exp</t>
  </si>
  <si>
    <t>55700537  4201 - Energy Policy Power Costs</t>
  </si>
  <si>
    <t>55700536  1810 - Resource Plan &amp; Analysis PC</t>
  </si>
  <si>
    <t>55700322  5300 - Renewable PPAs</t>
  </si>
  <si>
    <t>55700321  5300 - Non-Renewable PPAs</t>
  </si>
  <si>
    <t>55700305  1148 -  Energy Acctng O&amp;M Power Costs</t>
  </si>
  <si>
    <t>55700182  3050 - Other Power Costs - EIM Proj</t>
  </si>
  <si>
    <t>55700181  3050 - Other Power Costs – G&amp;A</t>
  </si>
  <si>
    <t>55700178  6005 - Power Supply - Hedging</t>
  </si>
  <si>
    <t>55700170  1900-Financial Derivatives</t>
  </si>
  <si>
    <t>55700167  1900-FERC Regulatory Merchant</t>
  </si>
  <si>
    <t>55700166  1900-FERC Regulatory Transmission</t>
  </si>
  <si>
    <t>55700158  1900-Power Purchase Agreements</t>
  </si>
  <si>
    <t>55700157  1900-Power Credit Matters</t>
  </si>
  <si>
    <t>55700155  1900-Mid-Columbia General</t>
  </si>
  <si>
    <t>55700150  1900-BPA Transmission Policy--Generation</t>
  </si>
  <si>
    <t>55700147  6008 - Safety - Power Costs</t>
  </si>
  <si>
    <t>55700146  6008 - Other Power Supply Expenses</t>
  </si>
  <si>
    <t>55700145  6008 - General &amp; Administrative</t>
  </si>
  <si>
    <t>55700144  6008 - Supervision &amp; Support</t>
  </si>
  <si>
    <t>55700138  PCA Amortization Recovery UE-200893</t>
  </si>
  <si>
    <t>55700137  5360 - Defer PCA Fixed Cost Imbal - Indu</t>
  </si>
  <si>
    <t>55700130  5360 - Deferred customer Portion - PCA</t>
  </si>
  <si>
    <t>55700107  6009 - Other Power Supply Expenses</t>
  </si>
  <si>
    <t>55700106  6009 - General &amp; Administrative</t>
  </si>
  <si>
    <t>55700090  5360 - Other Energy Expense - Electric</t>
  </si>
  <si>
    <t>55700086  5013-Mid Columbia-Other Energy Exp-Elec</t>
  </si>
  <si>
    <t>55700083  5329 - Other Power Costs - EIM Project</t>
  </si>
  <si>
    <t>55700032  6003 - NON-IT Power Settlements SaaS Gas</t>
  </si>
  <si>
    <t>55700031  6003-NON-IT Energy Exemplar SW Maint Ele</t>
  </si>
  <si>
    <t>55700030  3050 -NON-IT PCI EIM SW Maint Electr</t>
  </si>
  <si>
    <t>55700028  1148 - NON-IT Futrak SW Maint Electric</t>
  </si>
  <si>
    <t>55700021  6005 - Safety - Power Costs</t>
  </si>
  <si>
    <t>55700020  6003 - Training - Power Costs</t>
  </si>
  <si>
    <t>55700019  6003 - Safety - Power Costs</t>
  </si>
  <si>
    <t>55700018  5360 - Training - Power Costs</t>
  </si>
  <si>
    <t>55700017  5360 - Safety - Power Costs</t>
  </si>
  <si>
    <t>55700016  5329 - Training - Power Costs</t>
  </si>
  <si>
    <t>55700012  1256 - NON-IT Misc Electric</t>
  </si>
  <si>
    <t>55700011  5301 - NON-IT OATI Maint Electric</t>
  </si>
  <si>
    <t>55700009  5301 - NON-IT Zema Maint Electric</t>
  </si>
  <si>
    <t>55700008  5301 - NON-IT Lacima Maint Electric</t>
  </si>
  <si>
    <t>55700007  5301 NON-IT Openlink/Endur Maint Electri</t>
  </si>
  <si>
    <t>55700006  9810 - Green Power Renewable Credits</t>
  </si>
  <si>
    <t>55700002  5360 - Power Supply - Organizations - E</t>
  </si>
  <si>
    <t>PKW 2023</t>
  </si>
  <si>
    <t>PKW 2024</t>
  </si>
  <si>
    <t>PKW 2025</t>
  </si>
  <si>
    <t>Check</t>
  </si>
  <si>
    <t>&lt;=Check</t>
  </si>
  <si>
    <t>CHECK to Lead =&gt;</t>
  </si>
  <si>
    <t>Note 557 excludes B&amp;T; includes 55700138 which is excluced in IS</t>
  </si>
  <si>
    <t>&lt;= I/S</t>
  </si>
  <si>
    <t>2021</t>
  </si>
  <si>
    <t>&lt;=per plan, this is included in the Transmission O&amp;M adjustment</t>
  </si>
  <si>
    <t>`</t>
  </si>
  <si>
    <t xml:space="preserve">As Previously Filed: </t>
  </si>
  <si>
    <t xml:space="preserve">Difference: </t>
  </si>
  <si>
    <t>Diff</t>
  </si>
  <si>
    <t>in 000's</t>
  </si>
  <si>
    <t>Settlement - NW Pipeline FIT Refund</t>
  </si>
  <si>
    <t>Power Costs Summary</t>
  </si>
  <si>
    <t>2022 GRC - Compliance Filing</t>
  </si>
  <si>
    <t>Rate year 2023</t>
  </si>
  <si>
    <t>2022 GRC - Initial Filing 2023</t>
  </si>
  <si>
    <t>Rate year increase/(decrease) vs Initial Filing 2023</t>
  </si>
  <si>
    <t>Gas price date: 11/29/2022</t>
  </si>
  <si>
    <t>Rate Year</t>
  </si>
  <si>
    <t>Variabl BLR</t>
  </si>
  <si>
    <t>Difference to adj 2024</t>
  </si>
  <si>
    <t>$$ Difference to adj 2024</t>
  </si>
  <si>
    <t>2024 Assumption:</t>
  </si>
  <si>
    <t>* this amount will be slightly different even with 2023 variable pc because of centralia and brokers fees</t>
  </si>
  <si>
    <t>A-1 PC at 2023 * See Note</t>
  </si>
  <si>
    <t>2024 Revised</t>
  </si>
  <si>
    <t>In (000s) to adjust 2024 by</t>
  </si>
  <si>
    <t>Holding Variable Baseline Rate Same in 2024 (Note 1)</t>
  </si>
  <si>
    <t>(Note 1)</t>
  </si>
  <si>
    <t>Although there is a revenue requirement change in 2024, due to the change in loads between periods, there is no impact on the overall rate change.</t>
  </si>
  <si>
    <t>current compliance filing will never actually be in effect but act as a "placeholer" until the formal update is filed in the 90-day compliance filing for the 2024 rate.</t>
  </si>
  <si>
    <t xml:space="preserve">The amount to include for 2024 power costs is being determined in this way as it results in no rate change associated with power costs from 2023 - </t>
  </si>
  <si>
    <t>which is reasonable as power costs will be updated in the 2024 Power Cost Update per paragraph 28b in settlement, therefore, the 2024 rates set in the</t>
  </si>
  <si>
    <t>December 27, 2022 Compliance Filing</t>
  </si>
  <si>
    <t>&lt;&lt;&lt;=== Agrees to Order 26</t>
  </si>
  <si>
    <t>in the power cost work papers for support</t>
  </si>
  <si>
    <t>See file titled "PSE-WP-PKW-No-CCA-Power-cost-summary(C).xlsx"</t>
  </si>
  <si>
    <t>Adjustment from the 12/27 Compliance Filing</t>
  </si>
  <si>
    <t>Change in the Adjustments</t>
  </si>
  <si>
    <t>Conversion Factor</t>
  </si>
  <si>
    <t>Change in base rates revenue requirement</t>
  </si>
  <si>
    <t>Reconciliation of change in 2024 power costs to change in revenue requirement</t>
  </si>
  <si>
    <t>PER UE-220066 ============================================================================================================&gt;</t>
  </si>
  <si>
    <t>Rate year: January 2024 through December 2024</t>
  </si>
  <si>
    <t>Gas price 90-day average dates: 6/7/23 - 9/5/23</t>
  </si>
  <si>
    <t>Unit Costs ($/MWh)</t>
  </si>
  <si>
    <t>Total load (MWh)</t>
  </si>
  <si>
    <t>Demand Response</t>
  </si>
  <si>
    <t>557DR</t>
  </si>
  <si>
    <t>2024 Power Cost Update</t>
  </si>
  <si>
    <t>DEMAND RESPONSE (557)</t>
  </si>
  <si>
    <t>FR 22GRC Comp filing</t>
  </si>
  <si>
    <t>2024 update</t>
  </si>
  <si>
    <t>2022 GRC - Final 2023</t>
  </si>
  <si>
    <t>Increase / (decrease) vs 2023</t>
  </si>
  <si>
    <t>From BDM W/P</t>
  </si>
  <si>
    <t>Agrees</t>
  </si>
  <si>
    <t>ORIGINAL</t>
  </si>
  <si>
    <t>DIFF</t>
  </si>
  <si>
    <t>UPDATED BDM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</si>
</sst>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%"/>
    <numFmt numFmtId="168" formatCode="&quot;$&quot;#,##0.000000_);\(&quot;$&quot;#,##0.000000\)"/>
    <numFmt numFmtId="169" formatCode="&quot;$&quot;#,##0.000_);\(&quot;$&quot;#,##0.000\)"/>
    <numFmt numFmtId="170" formatCode="0_);\(0\)"/>
    <numFmt numFmtId="171" formatCode="0.0%"/>
    <numFmt numFmtId="172" formatCode="[$-409]mmm\-yy;@"/>
    <numFmt numFmtId="173" formatCode="&quot;$&quot;#,##0.000_);[Red]\(&quot;$&quot;#,##0.000\)"/>
    <numFmt numFmtId="174" formatCode="yyyy"/>
    <numFmt numFmtId="175" formatCode="#,##0.00000"/>
    <numFmt numFmtId="176" formatCode="_(&quot;$&quot;* #,##0.0000_);_(&quot;$&quot;* \(#,##0.0000\);_(&quot;$&quot;* &quot;-&quot;??_);_(@_)"/>
    <numFmt numFmtId="177" formatCode="&quot;$&quot;#,##0.00000000000_);[Red]\(&quot;$&quot;#,##0.00000000000\)"/>
    <numFmt numFmtId="178" formatCode="_(&quot;$&quot;* #,##0.0_);_(&quot;$&quot;* \(#,##0.0\);_(&quot;$&quot;* &quot;-&quot;?_);_(@_)"/>
    <numFmt numFmtId="179" formatCode="_(&quot;$&quot;* #,##0.00000_);_(&quot;$&quot;* \(#,##0.00000\);_(&quot;$&quot;* &quot;-&quot;??_);_(@_)"/>
    <numFmt numFmtId="180" formatCode="_(* #,##0.000_);_(* \(#,##0.000\);_(* &quot;-&quot;??_);_(@_)"/>
    <numFmt numFmtId="181" formatCode="#,##0_);[Red]\(#,##0\);&quot; &quot;"/>
    <numFmt numFmtId="182" formatCode="&quot;$&quot;#,##0"/>
    <numFmt numFmtId="183" formatCode="&quot;$&quot;#,##0.000"/>
    <numFmt numFmtId="184" formatCode="&quot;$&quot;#,##0.00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Geneva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sz val="8"/>
      <color theme="1"/>
      <name val="Helv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Geneva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  <font>
      <sz val="9"/>
      <name val="Geneva"/>
    </font>
    <font>
      <u/>
      <sz val="9"/>
      <name val="Geneva"/>
    </font>
    <font>
      <b/>
      <sz val="10"/>
      <name val="Geneva"/>
    </font>
    <font>
      <sz val="10"/>
      <color rgb="FFFF0000"/>
      <name val="Geneva"/>
    </font>
    <font>
      <b/>
      <u/>
      <sz val="10"/>
      <name val="Geneva"/>
    </font>
    <font>
      <b/>
      <sz val="11"/>
      <name val="Calibri"/>
      <family val="2"/>
      <scheme val="minor"/>
    </font>
    <font>
      <sz val="12"/>
      <name val="Arial"/>
      <family val="2"/>
    </font>
    <font>
      <i/>
      <sz val="10"/>
      <color rgb="FFFF000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4"/>
      <color indexed="10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u/>
      <sz val="12"/>
      <name val="Arial"/>
      <family val="2"/>
    </font>
    <font>
      <i/>
      <sz val="8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Cambria"/>
      <family val="2"/>
      <scheme val="major"/>
    </font>
    <font>
      <sz val="10"/>
      <name val="Cambria"/>
      <family val="2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Arial"/>
      <family val="2"/>
    </font>
    <font>
      <i/>
      <sz val="8"/>
      <color rgb="FF0070C0"/>
      <name val="Calibri"/>
      <family val="2"/>
      <scheme val="minor"/>
    </font>
    <font>
      <i/>
      <u/>
      <sz val="8"/>
      <color rgb="FF0070C0"/>
      <name val="Arial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i/>
      <sz val="10"/>
      <color rgb="FF0000FF"/>
      <name val="Arial"/>
      <family val="2"/>
    </font>
    <font>
      <b/>
      <sz val="8"/>
      <color rgb="FFFF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C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2">
    <xf numFmtId="164" fontId="0" fillId="0" borderId="0">
      <alignment horizontal="left" wrapText="1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115" fillId="28" borderId="0" applyNumberFormat="0" applyBorder="0" applyAlignment="0" applyProtection="0"/>
    <xf numFmtId="0" fontId="119" fillId="29" borderId="0" applyNumberFormat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2" fillId="0" borderId="0">
      <alignment horizontal="left" wrapText="1"/>
    </xf>
    <xf numFmtId="44" fontId="12" fillId="0" borderId="0" applyFont="0" applyFill="0" applyBorder="0" applyAlignment="0" applyProtection="0"/>
  </cellStyleXfs>
  <cellXfs count="1139">
    <xf numFmtId="164" fontId="0" fillId="0" borderId="0" xfId="0">
      <alignment horizontal="left" wrapText="1"/>
    </xf>
    <xf numFmtId="0" fontId="21" fillId="0" borderId="0" xfId="0" applyNumberFormat="1" applyFont="1" applyFill="1" applyAlignment="1"/>
    <xf numFmtId="17" fontId="21" fillId="0" borderId="0" xfId="0" applyNumberFormat="1" applyFont="1" applyFill="1" applyAlignment="1">
      <alignment horizontal="center"/>
    </xf>
    <xf numFmtId="0" fontId="21" fillId="0" borderId="34" xfId="0" applyNumberFormat="1" applyFont="1" applyFill="1" applyBorder="1" applyAlignment="1">
      <alignment horizontal="left" wrapText="1" indent="1"/>
    </xf>
    <xf numFmtId="165" fontId="21" fillId="0" borderId="0" xfId="0" applyNumberFormat="1" applyFont="1" applyFill="1" applyAlignment="1"/>
    <xf numFmtId="5" fontId="21" fillId="0" borderId="0" xfId="0" applyNumberFormat="1" applyFont="1" applyFill="1" applyAlignment="1"/>
    <xf numFmtId="164" fontId="21" fillId="0" borderId="0" xfId="0" applyFont="1" applyFill="1" applyAlignment="1"/>
    <xf numFmtId="0" fontId="9" fillId="0" borderId="0" xfId="0" applyNumberFormat="1" applyFont="1" applyFill="1" applyAlignment="1"/>
    <xf numFmtId="166" fontId="9" fillId="0" borderId="0" xfId="0" applyNumberFormat="1" applyFont="1" applyFill="1" applyAlignment="1"/>
    <xf numFmtId="0" fontId="33" fillId="0" borderId="0" xfId="0" applyNumberFormat="1" applyFont="1" applyFill="1" applyAlignment="1"/>
    <xf numFmtId="0" fontId="39" fillId="0" borderId="0" xfId="0" applyNumberFormat="1" applyFont="1" applyFill="1" applyAlignment="1"/>
    <xf numFmtId="166" fontId="33" fillId="0" borderId="0" xfId="0" applyNumberFormat="1" applyFont="1" applyFill="1" applyAlignment="1"/>
    <xf numFmtId="0" fontId="41" fillId="0" borderId="0" xfId="0" applyNumberFormat="1" applyFont="1" applyFill="1" applyAlignment="1"/>
    <xf numFmtId="164" fontId="40" fillId="0" borderId="0" xfId="0" applyFont="1" applyFill="1">
      <alignment horizontal="left" wrapText="1"/>
    </xf>
    <xf numFmtId="166" fontId="40" fillId="0" borderId="0" xfId="0" applyNumberFormat="1" applyFont="1" applyFill="1" applyAlignment="1"/>
    <xf numFmtId="164" fontId="40" fillId="0" borderId="0" xfId="0" applyFont="1" applyFill="1" applyAlignment="1"/>
    <xf numFmtId="164" fontId="39" fillId="0" borderId="0" xfId="0" applyFont="1" applyFill="1" applyAlignment="1"/>
    <xf numFmtId="5" fontId="33" fillId="0" borderId="4" xfId="0" applyNumberFormat="1" applyFont="1" applyFill="1" applyBorder="1" applyAlignment="1"/>
    <xf numFmtId="5" fontId="33" fillId="0" borderId="0" xfId="0" applyNumberFormat="1" applyFont="1" applyFill="1" applyAlignment="1"/>
    <xf numFmtId="164" fontId="33" fillId="0" borderId="0" xfId="0" applyFont="1" applyFill="1">
      <alignment horizontal="left" wrapText="1"/>
    </xf>
    <xf numFmtId="43" fontId="40" fillId="0" borderId="0" xfId="0" applyNumberFormat="1" applyFont="1" applyFill="1" applyAlignment="1"/>
    <xf numFmtId="16" fontId="39" fillId="0" borderId="0" xfId="0" applyNumberFormat="1" applyFont="1" applyFill="1" applyAlignment="1"/>
    <xf numFmtId="166" fontId="44" fillId="0" borderId="0" xfId="0" applyNumberFormat="1" applyFont="1" applyFill="1" applyAlignment="1"/>
    <xf numFmtId="166" fontId="33" fillId="0" borderId="4" xfId="0" applyNumberFormat="1" applyFont="1" applyFill="1" applyBorder="1" applyAlignment="1"/>
    <xf numFmtId="5" fontId="44" fillId="0" borderId="0" xfId="0" applyNumberFormat="1" applyFont="1" applyFill="1" applyAlignment="1"/>
    <xf numFmtId="0" fontId="45" fillId="0" borderId="0" xfId="0" applyNumberFormat="1" applyFont="1" applyFill="1" applyAlignment="1"/>
    <xf numFmtId="170" fontId="42" fillId="0" borderId="0" xfId="0" applyNumberFormat="1" applyFont="1" applyFill="1" applyAlignment="1">
      <alignment horizontal="left"/>
    </xf>
    <xf numFmtId="170" fontId="42" fillId="0" borderId="0" xfId="0" applyNumberFormat="1" applyFont="1" applyFill="1" applyAlignment="1">
      <alignment horizontal="center"/>
    </xf>
    <xf numFmtId="0" fontId="46" fillId="0" borderId="0" xfId="0" applyNumberFormat="1" applyFont="1" applyFill="1" applyAlignment="1">
      <alignment horizontal="left"/>
    </xf>
    <xf numFmtId="166" fontId="42" fillId="0" borderId="0" xfId="0" applyNumberFormat="1" applyFont="1" applyFill="1" applyAlignment="1">
      <alignment horizontal="left"/>
    </xf>
    <xf numFmtId="170" fontId="43" fillId="0" borderId="0" xfId="0" applyNumberFormat="1" applyFont="1" applyFill="1" applyBorder="1" applyAlignment="1">
      <alignment horizontal="left"/>
    </xf>
    <xf numFmtId="0" fontId="42" fillId="0" borderId="0" xfId="0" applyNumberFormat="1" applyFont="1" applyFill="1" applyAlignment="1">
      <alignment horizontal="center"/>
    </xf>
    <xf numFmtId="170" fontId="42" fillId="0" borderId="0" xfId="0" applyNumberFormat="1" applyFont="1" applyFill="1" applyBorder="1" applyAlignment="1">
      <alignment horizontal="left"/>
    </xf>
    <xf numFmtId="166" fontId="42" fillId="0" borderId="3" xfId="0" applyNumberFormat="1" applyFont="1" applyFill="1" applyBorder="1" applyAlignment="1">
      <alignment horizontal="left"/>
    </xf>
    <xf numFmtId="170" fontId="42" fillId="0" borderId="0" xfId="0" applyNumberFormat="1" applyFont="1" applyFill="1" applyBorder="1" applyAlignment="1">
      <alignment horizontal="right"/>
    </xf>
    <xf numFmtId="170" fontId="42" fillId="0" borderId="0" xfId="0" applyNumberFormat="1" applyFont="1" applyFill="1" applyBorder="1" applyAlignment="1"/>
    <xf numFmtId="166" fontId="42" fillId="0" borderId="4" xfId="0" applyNumberFormat="1" applyFont="1" applyFill="1" applyBorder="1" applyAlignment="1">
      <alignment horizontal="left"/>
    </xf>
    <xf numFmtId="164" fontId="0" fillId="0" borderId="0" xfId="0" applyAlignment="1"/>
    <xf numFmtId="166" fontId="0" fillId="0" borderId="0" xfId="0" applyNumberFormat="1" applyFont="1" applyAlignment="1"/>
    <xf numFmtId="166" fontId="0" fillId="0" borderId="3" xfId="0" applyNumberFormat="1" applyFont="1" applyBorder="1" applyAlignment="1"/>
    <xf numFmtId="0" fontId="8" fillId="0" borderId="0" xfId="0" applyNumberFormat="1" applyFont="1" applyFill="1" applyAlignment="1"/>
    <xf numFmtId="164" fontId="33" fillId="0" borderId="0" xfId="0" applyFont="1" applyFill="1" applyAlignment="1"/>
    <xf numFmtId="166" fontId="0" fillId="0" borderId="4" xfId="0" applyNumberFormat="1" applyFont="1" applyBorder="1" applyAlignment="1"/>
    <xf numFmtId="164" fontId="13" fillId="0" borderId="0" xfId="0" applyFont="1" applyAlignment="1"/>
    <xf numFmtId="5" fontId="44" fillId="4" borderId="0" xfId="0" applyNumberFormat="1" applyFont="1" applyFill="1" applyAlignment="1"/>
    <xf numFmtId="5" fontId="44" fillId="5" borderId="0" xfId="0" applyNumberFormat="1" applyFont="1" applyFill="1" applyAlignment="1"/>
    <xf numFmtId="5" fontId="44" fillId="6" borderId="0" xfId="0" applyNumberFormat="1" applyFont="1" applyFill="1" applyAlignment="1"/>
    <xf numFmtId="0" fontId="33" fillId="6" borderId="0" xfId="0" applyNumberFormat="1" applyFont="1" applyFill="1" applyAlignment="1"/>
    <xf numFmtId="0" fontId="33" fillId="5" borderId="0" xfId="0" applyNumberFormat="1" applyFont="1" applyFill="1" applyAlignment="1"/>
    <xf numFmtId="0" fontId="33" fillId="4" borderId="0" xfId="0" applyNumberFormat="1" applyFont="1" applyFill="1" applyAlignment="1"/>
    <xf numFmtId="5" fontId="44" fillId="3" borderId="0" xfId="0" applyNumberFormat="1" applyFont="1" applyFill="1" applyAlignment="1"/>
    <xf numFmtId="0" fontId="33" fillId="3" borderId="0" xfId="0" applyNumberFormat="1" applyFont="1" applyFill="1" applyAlignment="1"/>
    <xf numFmtId="0" fontId="20" fillId="0" borderId="0" xfId="0" applyNumberFormat="1" applyFont="1" applyAlignment="1"/>
    <xf numFmtId="5" fontId="20" fillId="0" borderId="0" xfId="0" applyNumberFormat="1" applyFont="1" applyAlignment="1"/>
    <xf numFmtId="0" fontId="49" fillId="0" borderId="0" xfId="0" applyNumberFormat="1" applyFont="1" applyAlignment="1">
      <alignment horizontal="right"/>
    </xf>
    <xf numFmtId="37" fontId="50" fillId="7" borderId="0" xfId="0" applyNumberFormat="1" applyFont="1" applyFill="1" applyAlignment="1">
      <alignment horizontal="center"/>
    </xf>
    <xf numFmtId="0" fontId="21" fillId="8" borderId="15" xfId="0" applyNumberFormat="1" applyFont="1" applyFill="1" applyBorder="1" applyAlignment="1"/>
    <xf numFmtId="0" fontId="21" fillId="8" borderId="6" xfId="0" applyNumberFormat="1" applyFont="1" applyFill="1" applyBorder="1" applyAlignment="1"/>
    <xf numFmtId="0" fontId="21" fillId="8" borderId="12" xfId="0" applyNumberFormat="1" applyFont="1" applyFill="1" applyBorder="1" applyAlignment="1"/>
    <xf numFmtId="5" fontId="21" fillId="7" borderId="0" xfId="0" applyNumberFormat="1" applyFont="1" applyFill="1" applyBorder="1" applyAlignment="1"/>
    <xf numFmtId="0" fontId="21" fillId="0" borderId="0" xfId="0" applyNumberFormat="1" applyFont="1" applyAlignment="1"/>
    <xf numFmtId="5" fontId="21" fillId="7" borderId="4" xfId="0" applyNumberFormat="1" applyFont="1" applyFill="1" applyBorder="1" applyAlignment="1"/>
    <xf numFmtId="17" fontId="21" fillId="7" borderId="0" xfId="0" applyNumberFormat="1" applyFont="1" applyFill="1" applyAlignment="1">
      <alignment horizontal="center" wrapText="1"/>
    </xf>
    <xf numFmtId="17" fontId="21" fillId="7" borderId="0" xfId="0" applyNumberFormat="1" applyFont="1" applyFill="1" applyAlignment="1">
      <alignment horizontal="center"/>
    </xf>
    <xf numFmtId="0" fontId="22" fillId="0" borderId="0" xfId="0" applyNumberFormat="1" applyFont="1" applyAlignment="1"/>
    <xf numFmtId="0" fontId="51" fillId="0" borderId="0" xfId="0" applyNumberFormat="1" applyFont="1" applyAlignment="1"/>
    <xf numFmtId="7" fontId="51" fillId="0" borderId="0" xfId="0" applyNumberFormat="1" applyFont="1" applyFill="1" applyAlignment="1"/>
    <xf numFmtId="17" fontId="21" fillId="0" borderId="0" xfId="0" applyNumberFormat="1" applyFont="1" applyAlignment="1">
      <alignment horizontal="center"/>
    </xf>
    <xf numFmtId="0" fontId="12" fillId="0" borderId="0" xfId="0" applyNumberFormat="1" applyFont="1" applyAlignment="1"/>
    <xf numFmtId="0" fontId="48" fillId="0" borderId="0" xfId="0" applyNumberFormat="1" applyFont="1" applyAlignment="1"/>
    <xf numFmtId="0" fontId="12" fillId="0" borderId="0" xfId="0" applyNumberFormat="1" applyFont="1" applyAlignment="1" applyProtection="1">
      <alignment horizontal="center"/>
      <protection locked="0"/>
    </xf>
    <xf numFmtId="166" fontId="12" fillId="0" borderId="0" xfId="0" applyNumberFormat="1" applyFont="1" applyAlignment="1"/>
    <xf numFmtId="37" fontId="13" fillId="0" borderId="1" xfId="0" applyNumberFormat="1" applyFont="1" applyFill="1" applyBorder="1" applyAlignment="1"/>
    <xf numFmtId="37" fontId="13" fillId="0" borderId="0" xfId="0" applyNumberFormat="1" applyFont="1" applyFill="1" applyBorder="1" applyAlignment="1"/>
    <xf numFmtId="0" fontId="17" fillId="0" borderId="0" xfId="0" applyNumberFormat="1" applyFont="1" applyAlignment="1" applyProtection="1">
      <alignment horizontal="center"/>
      <protection locked="0"/>
    </xf>
    <xf numFmtId="166" fontId="12" fillId="2" borderId="0" xfId="0" applyNumberFormat="1" applyFont="1" applyFill="1" applyAlignment="1">
      <alignment horizontal="right"/>
    </xf>
    <xf numFmtId="166" fontId="12" fillId="0" borderId="0" xfId="0" applyNumberFormat="1" applyFont="1" applyAlignment="1">
      <alignment horizontal="right"/>
    </xf>
    <xf numFmtId="166" fontId="13" fillId="2" borderId="0" xfId="0" applyNumberFormat="1" applyFont="1" applyFill="1" applyBorder="1" applyAlignment="1"/>
    <xf numFmtId="166" fontId="12" fillId="2" borderId="55" xfId="0" applyNumberFormat="1" applyFont="1" applyFill="1" applyBorder="1" applyAlignment="1"/>
    <xf numFmtId="17" fontId="12" fillId="0" borderId="0" xfId="0" applyNumberFormat="1" applyFont="1" applyAlignment="1"/>
    <xf numFmtId="166" fontId="12" fillId="2" borderId="0" xfId="0" applyNumberFormat="1" applyFont="1" applyFill="1" applyBorder="1" applyAlignment="1"/>
    <xf numFmtId="43" fontId="12" fillId="0" borderId="0" xfId="0" applyNumberFormat="1" applyFont="1" applyAlignment="1"/>
    <xf numFmtId="166" fontId="12" fillId="9" borderId="0" xfId="0" applyNumberFormat="1" applyFont="1" applyFill="1" applyAlignment="1">
      <alignment horizontal="right"/>
    </xf>
    <xf numFmtId="166" fontId="13" fillId="9" borderId="0" xfId="0" applyNumberFormat="1" applyFont="1" applyFill="1" applyBorder="1" applyAlignment="1"/>
    <xf numFmtId="166" fontId="12" fillId="9" borderId="0" xfId="0" applyNumberFormat="1" applyFont="1" applyFill="1" applyBorder="1" applyAlignment="1"/>
    <xf numFmtId="171" fontId="53" fillId="11" borderId="0" xfId="0" applyNumberFormat="1" applyFont="1" applyFill="1" applyAlignment="1">
      <alignment horizontal="right"/>
    </xf>
    <xf numFmtId="37" fontId="54" fillId="0" borderId="0" xfId="0" applyNumberFormat="1" applyFont="1" applyBorder="1" applyAlignment="1">
      <alignment horizontal="center"/>
    </xf>
    <xf numFmtId="0" fontId="54" fillId="0" borderId="0" xfId="0" applyNumberFormat="1" applyFont="1" applyFill="1" applyBorder="1" applyAlignment="1">
      <alignment horizontal="center"/>
    </xf>
    <xf numFmtId="0" fontId="54" fillId="0" borderId="0" xfId="0" quotePrefix="1" applyNumberFormat="1" applyFont="1" applyBorder="1" applyAlignment="1">
      <alignment horizontal="center"/>
    </xf>
    <xf numFmtId="0" fontId="17" fillId="0" borderId="0" xfId="0" applyNumberFormat="1" applyFont="1" applyAlignment="1"/>
    <xf numFmtId="0" fontId="55" fillId="0" borderId="0" xfId="0" applyNumberFormat="1" applyFont="1" applyAlignment="1">
      <alignment horizontal="center"/>
    </xf>
    <xf numFmtId="37" fontId="55" fillId="0" borderId="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2" fillId="0" borderId="0" xfId="0" applyNumberFormat="1" applyFont="1" applyFill="1" applyAlignment="1"/>
    <xf numFmtId="0" fontId="55" fillId="0" borderId="0" xfId="0" applyNumberFormat="1" applyFont="1" applyBorder="1" applyAlignment="1">
      <alignment horizontal="center"/>
    </xf>
    <xf numFmtId="0" fontId="55" fillId="0" borderId="0" xfId="0" quotePrefix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/>
    <xf numFmtId="0" fontId="13" fillId="0" borderId="0" xfId="0" applyNumberFormat="1" applyFont="1" applyBorder="1" applyAlignment="1"/>
    <xf numFmtId="0" fontId="13" fillId="0" borderId="0" xfId="0" applyNumberFormat="1" applyFont="1" applyBorder="1" applyAlignment="1" applyProtection="1">
      <alignment horizontal="center"/>
      <protection locked="0"/>
    </xf>
    <xf numFmtId="0" fontId="12" fillId="0" borderId="55" xfId="0" applyNumberFormat="1" applyFont="1" applyBorder="1" applyAlignment="1"/>
    <xf numFmtId="0" fontId="13" fillId="0" borderId="55" xfId="0" applyNumberFormat="1" applyFont="1" applyBorder="1" applyAlignment="1"/>
    <xf numFmtId="0" fontId="13" fillId="0" borderId="55" xfId="0" applyNumberFormat="1" applyFont="1" applyBorder="1" applyAlignment="1" applyProtection="1">
      <alignment horizontal="center"/>
      <protection locked="0"/>
    </xf>
    <xf numFmtId="0" fontId="13" fillId="0" borderId="0" xfId="0" applyNumberFormat="1" applyFont="1" applyAlignment="1" applyProtection="1">
      <protection locked="0"/>
    </xf>
    <xf numFmtId="0" fontId="13" fillId="0" borderId="0" xfId="0" applyNumberFormat="1" applyFont="1" applyAlignment="1" applyProtection="1">
      <alignment horizontal="center"/>
      <protection locked="0"/>
    </xf>
    <xf numFmtId="0" fontId="13" fillId="0" borderId="0" xfId="0" applyNumberFormat="1" applyFont="1" applyAlignment="1" applyProtection="1">
      <alignment horizontal="centerContinuous"/>
      <protection locked="0"/>
    </xf>
    <xf numFmtId="0" fontId="13" fillId="0" borderId="0" xfId="0" applyNumberFormat="1" applyFont="1" applyAlignment="1">
      <alignment horizontal="centerContinuous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Alignment="1"/>
    <xf numFmtId="5" fontId="12" fillId="0" borderId="0" xfId="0" applyNumberFormat="1" applyFont="1" applyAlignment="1"/>
    <xf numFmtId="0" fontId="13" fillId="5" borderId="0" xfId="0" applyNumberFormat="1" applyFont="1" applyFill="1" applyAlignment="1">
      <alignment horizontal="right"/>
    </xf>
    <xf numFmtId="5" fontId="12" fillId="0" borderId="55" xfId="0" applyNumberFormat="1" applyFont="1" applyBorder="1" applyAlignment="1"/>
    <xf numFmtId="0" fontId="13" fillId="0" borderId="0" xfId="0" applyNumberFormat="1" applyFont="1" applyAlignment="1">
      <alignment horizontal="left"/>
    </xf>
    <xf numFmtId="37" fontId="12" fillId="0" borderId="0" xfId="0" applyNumberFormat="1" applyFont="1" applyAlignment="1"/>
    <xf numFmtId="37" fontId="12" fillId="0" borderId="0" xfId="0" applyNumberFormat="1" applyFont="1" applyBorder="1" applyAlignment="1"/>
    <xf numFmtId="37" fontId="12" fillId="0" borderId="55" xfId="0" applyNumberFormat="1" applyFont="1" applyBorder="1" applyAlignment="1"/>
    <xf numFmtId="0" fontId="56" fillId="0" borderId="0" xfId="0" applyNumberFormat="1" applyFont="1" applyAlignment="1">
      <alignment horizontal="center"/>
    </xf>
    <xf numFmtId="17" fontId="53" fillId="0" borderId="0" xfId="0" applyNumberFormat="1" applyFont="1" applyAlignment="1">
      <alignment horizontal="center"/>
    </xf>
    <xf numFmtId="17" fontId="53" fillId="0" borderId="0" xfId="0" applyNumberFormat="1" applyFont="1" applyFill="1" applyAlignment="1">
      <alignment horizontal="center"/>
    </xf>
    <xf numFmtId="5" fontId="13" fillId="0" borderId="19" xfId="0" applyNumberFormat="1" applyFont="1" applyBorder="1" applyAlignment="1">
      <alignment horizontal="center"/>
    </xf>
    <xf numFmtId="0" fontId="15" fillId="0" borderId="0" xfId="0" applyNumberFormat="1" applyFont="1" applyAlignment="1"/>
    <xf numFmtId="37" fontId="13" fillId="0" borderId="0" xfId="0" applyNumberFormat="1" applyFont="1" applyAlignment="1"/>
    <xf numFmtId="37" fontId="13" fillId="0" borderId="0" xfId="0" applyNumberFormat="1" applyFont="1" applyFill="1" applyAlignment="1"/>
    <xf numFmtId="5" fontId="12" fillId="5" borderId="4" xfId="0" applyNumberFormat="1" applyFont="1" applyFill="1" applyBorder="1" applyAlignment="1"/>
    <xf numFmtId="0" fontId="57" fillId="0" borderId="0" xfId="0" applyNumberFormat="1" applyFont="1" applyAlignment="1"/>
    <xf numFmtId="7" fontId="57" fillId="0" borderId="0" xfId="0" applyNumberFormat="1" applyFont="1" applyAlignment="1"/>
    <xf numFmtId="7" fontId="58" fillId="0" borderId="0" xfId="0" applyNumberFormat="1" applyFont="1" applyAlignment="1"/>
    <xf numFmtId="7" fontId="59" fillId="0" borderId="0" xfId="0" applyNumberFormat="1" applyFont="1" applyAlignment="1"/>
    <xf numFmtId="37" fontId="12" fillId="0" borderId="2" xfId="0" applyNumberFormat="1" applyFont="1" applyFill="1" applyBorder="1" applyAlignment="1"/>
    <xf numFmtId="37" fontId="12" fillId="0" borderId="2" xfId="0" applyNumberFormat="1" applyFont="1" applyBorder="1" applyAlignment="1"/>
    <xf numFmtId="0" fontId="13" fillId="0" borderId="0" xfId="0" applyNumberFormat="1" applyFont="1" applyAlignment="1">
      <alignment horizontal="right"/>
    </xf>
    <xf numFmtId="166" fontId="13" fillId="0" borderId="0" xfId="0" applyNumberFormat="1" applyFont="1" applyAlignment="1"/>
    <xf numFmtId="1" fontId="13" fillId="0" borderId="0" xfId="0" applyNumberFormat="1" applyFont="1" applyAlignment="1"/>
    <xf numFmtId="1" fontId="60" fillId="0" borderId="0" xfId="0" applyNumberFormat="1" applyFont="1" applyAlignment="1"/>
    <xf numFmtId="37" fontId="24" fillId="0" borderId="0" xfId="0" applyNumberFormat="1" applyFont="1" applyFill="1" applyAlignment="1"/>
    <xf numFmtId="37" fontId="12" fillId="0" borderId="1" xfId="0" applyNumberFormat="1" applyFont="1" applyBorder="1" applyAlignment="1"/>
    <xf numFmtId="37" fontId="12" fillId="0" borderId="55" xfId="0" applyNumberFormat="1" applyFont="1" applyFill="1" applyBorder="1" applyAlignment="1"/>
    <xf numFmtId="37" fontId="12" fillId="0" borderId="0" xfId="0" applyNumberFormat="1" applyFont="1" applyFill="1" applyAlignment="1"/>
    <xf numFmtId="0" fontId="24" fillId="0" borderId="0" xfId="0" applyNumberFormat="1" applyFont="1" applyFill="1" applyAlignment="1"/>
    <xf numFmtId="0" fontId="25" fillId="0" borderId="0" xfId="0" applyNumberFormat="1" applyFont="1" applyAlignment="1"/>
    <xf numFmtId="37" fontId="12" fillId="9" borderId="0" xfId="0" applyNumberFormat="1" applyFont="1" applyFill="1" applyAlignment="1"/>
    <xf numFmtId="37" fontId="12" fillId="0" borderId="1" xfId="0" applyNumberFormat="1" applyFont="1" applyFill="1" applyBorder="1" applyAlignment="1"/>
    <xf numFmtId="0" fontId="13" fillId="0" borderId="0" xfId="0" applyNumberFormat="1" applyFont="1" applyFill="1" applyAlignment="1"/>
    <xf numFmtId="0" fontId="59" fillId="0" borderId="0" xfId="0" applyNumberFormat="1" applyFont="1" applyFill="1" applyAlignment="1"/>
    <xf numFmtId="0" fontId="53" fillId="0" borderId="0" xfId="0" applyNumberFormat="1" applyFont="1" applyAlignment="1"/>
    <xf numFmtId="0" fontId="13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center"/>
    </xf>
    <xf numFmtId="172" fontId="62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Alignment="1"/>
    <xf numFmtId="7" fontId="23" fillId="0" borderId="0" xfId="0" applyNumberFormat="1" applyFont="1" applyAlignment="1"/>
    <xf numFmtId="5" fontId="23" fillId="0" borderId="0" xfId="0" applyNumberFormat="1" applyFont="1" applyAlignment="1"/>
    <xf numFmtId="0" fontId="63" fillId="0" borderId="0" xfId="0" applyNumberFormat="1" applyFont="1" applyAlignment="1"/>
    <xf numFmtId="0" fontId="64" fillId="0" borderId="0" xfId="0" applyNumberFormat="1" applyFont="1" applyAlignment="1"/>
    <xf numFmtId="5" fontId="23" fillId="0" borderId="0" xfId="0" applyNumberFormat="1" applyFont="1" applyAlignment="1">
      <alignment vertical="center"/>
    </xf>
    <xf numFmtId="5" fontId="65" fillId="0" borderId="19" xfId="0" applyNumberFormat="1" applyFont="1" applyBorder="1" applyAlignment="1">
      <alignment horizontal="center" vertical="center"/>
    </xf>
    <xf numFmtId="5" fontId="23" fillId="0" borderId="0" xfId="0" applyNumberFormat="1" applyFont="1" applyAlignment="1">
      <alignment horizontal="left" vertical="center"/>
    </xf>
    <xf numFmtId="5" fontId="23" fillId="0" borderId="0" xfId="0" applyNumberFormat="1" applyFont="1" applyAlignment="1">
      <alignment horizontal="right" vertical="center" wrapText="1"/>
    </xf>
    <xf numFmtId="0" fontId="23" fillId="0" borderId="0" xfId="0" applyNumberFormat="1" applyFont="1" applyAlignment="1">
      <alignment vertical="center"/>
    </xf>
    <xf numFmtId="5" fontId="23" fillId="5" borderId="4" xfId="0" applyNumberFormat="1" applyFont="1" applyFill="1" applyBorder="1" applyAlignment="1"/>
    <xf numFmtId="5" fontId="23" fillId="5" borderId="0" xfId="0" applyNumberFormat="1" applyFont="1" applyFill="1" applyAlignment="1"/>
    <xf numFmtId="7" fontId="23" fillId="9" borderId="0" xfId="0" applyNumberFormat="1" applyFont="1" applyFill="1" applyAlignment="1"/>
    <xf numFmtId="7" fontId="66" fillId="0" borderId="0" xfId="0" applyNumberFormat="1" applyFont="1" applyAlignment="1"/>
    <xf numFmtId="165" fontId="23" fillId="0" borderId="2" xfId="0" applyNumberFormat="1" applyFont="1" applyFill="1" applyBorder="1" applyAlignment="1"/>
    <xf numFmtId="0" fontId="67" fillId="0" borderId="0" xfId="0" applyNumberFormat="1" applyFont="1" applyAlignment="1"/>
    <xf numFmtId="37" fontId="23" fillId="0" borderId="2" xfId="0" applyNumberFormat="1" applyFont="1" applyBorder="1" applyAlignment="1"/>
    <xf numFmtId="0" fontId="23" fillId="0" borderId="0" xfId="0" applyNumberFormat="1" applyFont="1" applyFill="1" applyAlignment="1">
      <alignment horizontal="right"/>
    </xf>
    <xf numFmtId="37" fontId="23" fillId="0" borderId="0" xfId="0" applyNumberFormat="1" applyFont="1" applyAlignment="1"/>
    <xf numFmtId="0" fontId="23" fillId="0" borderId="0" xfId="0" applyNumberFormat="1" applyFont="1" applyFill="1" applyAlignment="1"/>
    <xf numFmtId="37" fontId="23" fillId="0" borderId="0" xfId="0" applyNumberFormat="1" applyFont="1" applyFill="1" applyAlignment="1"/>
    <xf numFmtId="3" fontId="23" fillId="0" borderId="0" xfId="0" applyNumberFormat="1" applyFont="1" applyFill="1" applyAlignment="1"/>
    <xf numFmtId="37" fontId="23" fillId="0" borderId="2" xfId="0" applyNumberFormat="1" applyFont="1" applyFill="1" applyBorder="1" applyAlignment="1"/>
    <xf numFmtId="37" fontId="23" fillId="9" borderId="0" xfId="0" applyNumberFormat="1" applyFont="1" applyFill="1" applyAlignment="1"/>
    <xf numFmtId="166" fontId="12" fillId="0" borderId="0" xfId="0" applyNumberFormat="1" applyFont="1" applyFill="1" applyAlignment="1"/>
    <xf numFmtId="166" fontId="23" fillId="0" borderId="0" xfId="0" applyNumberFormat="1" applyFont="1" applyAlignment="1"/>
    <xf numFmtId="17" fontId="53" fillId="0" borderId="0" xfId="0" applyNumberFormat="1" applyFont="1" applyAlignment="1"/>
    <xf numFmtId="17" fontId="53" fillId="0" borderId="0" xfId="0" applyNumberFormat="1" applyFont="1" applyFill="1" applyAlignment="1"/>
    <xf numFmtId="164" fontId="0" fillId="0" borderId="0" xfId="0" applyFill="1" applyAlignment="1"/>
    <xf numFmtId="166" fontId="0" fillId="0" borderId="27" xfId="0" applyNumberFormat="1" applyFill="1" applyBorder="1" applyAlignment="1"/>
    <xf numFmtId="166" fontId="0" fillId="0" borderId="0" xfId="0" applyNumberFormat="1" applyFill="1" applyAlignment="1"/>
    <xf numFmtId="164" fontId="0" fillId="0" borderId="26" xfId="0" applyFill="1" applyBorder="1" applyAlignment="1"/>
    <xf numFmtId="164" fontId="0" fillId="0" borderId="25" xfId="0" applyFill="1" applyBorder="1" applyAlignment="1"/>
    <xf numFmtId="166" fontId="0" fillId="0" borderId="24" xfId="0" applyNumberFormat="1" applyFill="1" applyBorder="1" applyAlignment="1"/>
    <xf numFmtId="166" fontId="0" fillId="0" borderId="23" xfId="0" applyNumberFormat="1" applyFill="1" applyBorder="1" applyAlignment="1"/>
    <xf numFmtId="166" fontId="0" fillId="0" borderId="20" xfId="0" applyNumberFormat="1" applyFill="1" applyBorder="1" applyAlignment="1"/>
    <xf numFmtId="164" fontId="0" fillId="0" borderId="20" xfId="0" applyFill="1" applyBorder="1" applyAlignment="1"/>
    <xf numFmtId="164" fontId="0" fillId="0" borderId="21" xfId="0" applyFill="1" applyBorder="1" applyAlignment="1"/>
    <xf numFmtId="166" fontId="0" fillId="0" borderId="26" xfId="0" applyNumberFormat="1" applyFill="1" applyBorder="1" applyAlignment="1"/>
    <xf numFmtId="37" fontId="0" fillId="0" borderId="0" xfId="0" applyNumberFormat="1" applyAlignment="1"/>
    <xf numFmtId="164" fontId="12" fillId="0" borderId="0" xfId="0" applyFont="1" applyAlignment="1"/>
    <xf numFmtId="164" fontId="0" fillId="0" borderId="0" xfId="0" applyFont="1" applyAlignment="1"/>
    <xf numFmtId="3" fontId="0" fillId="0" borderId="0" xfId="0" applyNumberFormat="1" applyAlignment="1"/>
    <xf numFmtId="164" fontId="12" fillId="0" borderId="0" xfId="0" applyFont="1" applyFill="1" applyBorder="1" applyAlignment="1">
      <alignment horizontal="right"/>
    </xf>
    <xf numFmtId="3" fontId="12" fillId="0" borderId="0" xfId="0" applyNumberFormat="1" applyFont="1" applyAlignment="1"/>
    <xf numFmtId="164" fontId="12" fillId="0" borderId="0" xfId="0" applyFont="1" applyAlignment="1">
      <alignment horizontal="right"/>
    </xf>
    <xf numFmtId="3" fontId="28" fillId="0" borderId="0" xfId="0" applyNumberFormat="1" applyFont="1" applyAlignment="1"/>
    <xf numFmtId="164" fontId="28" fillId="0" borderId="0" xfId="0" applyFont="1" applyAlignment="1">
      <alignment horizontal="right"/>
    </xf>
    <xf numFmtId="164" fontId="13" fillId="0" borderId="0" xfId="0" applyFont="1" applyAlignment="1">
      <alignment horizontal="center"/>
    </xf>
    <xf numFmtId="164" fontId="27" fillId="0" borderId="0" xfId="0" applyFont="1" applyAlignment="1"/>
    <xf numFmtId="1" fontId="13" fillId="0" borderId="0" xfId="0" applyNumberFormat="1" applyFont="1" applyBorder="1" applyAlignment="1">
      <alignment horizontal="center"/>
    </xf>
    <xf numFmtId="164" fontId="69" fillId="0" borderId="0" xfId="0" applyFont="1" applyAlignment="1"/>
    <xf numFmtId="164" fontId="59" fillId="0" borderId="0" xfId="0" applyFont="1" applyAlignment="1"/>
    <xf numFmtId="164" fontId="70" fillId="0" borderId="0" xfId="0" applyFont="1" applyAlignment="1"/>
    <xf numFmtId="10" fontId="0" fillId="0" borderId="3" xfId="0" applyNumberFormat="1" applyFont="1" applyBorder="1" applyAlignment="1">
      <alignment horizontal="center"/>
    </xf>
    <xf numFmtId="0" fontId="61" fillId="0" borderId="0" xfId="0" applyNumberFormat="1" applyFont="1" applyAlignment="1">
      <alignment horizontal="center"/>
    </xf>
    <xf numFmtId="164" fontId="12" fillId="0" borderId="0" xfId="0" applyFont="1">
      <alignment horizontal="left" wrapText="1"/>
    </xf>
    <xf numFmtId="164" fontId="53" fillId="0" borderId="0" xfId="0" applyFont="1" applyAlignment="1">
      <alignment horizontal="left"/>
    </xf>
    <xf numFmtId="8" fontId="72" fillId="0" borderId="0" xfId="0" applyNumberFormat="1" applyFont="1" applyAlignment="1"/>
    <xf numFmtId="6" fontId="72" fillId="4" borderId="40" xfId="0" applyNumberFormat="1" applyFont="1" applyFill="1" applyBorder="1" applyAlignment="1"/>
    <xf numFmtId="6" fontId="72" fillId="4" borderId="36" xfId="0" applyNumberFormat="1" applyFont="1" applyFill="1" applyBorder="1" applyAlignment="1"/>
    <xf numFmtId="0" fontId="73" fillId="4" borderId="36" xfId="0" applyNumberFormat="1" applyFont="1" applyFill="1" applyBorder="1" applyAlignment="1"/>
    <xf numFmtId="0" fontId="72" fillId="0" borderId="0" xfId="0" applyNumberFormat="1" applyFont="1" applyAlignment="1"/>
    <xf numFmtId="0" fontId="72" fillId="0" borderId="8" xfId="0" applyNumberFormat="1" applyFont="1" applyBorder="1" applyAlignment="1"/>
    <xf numFmtId="0" fontId="72" fillId="0" borderId="0" xfId="0" applyNumberFormat="1" applyFont="1" applyBorder="1" applyAlignment="1"/>
    <xf numFmtId="0" fontId="72" fillId="0" borderId="33" xfId="0" applyNumberFormat="1" applyFont="1" applyBorder="1" applyAlignment="1"/>
    <xf numFmtId="165" fontId="72" fillId="0" borderId="0" xfId="0" applyNumberFormat="1" applyFont="1" applyFill="1" applyAlignment="1"/>
    <xf numFmtId="165" fontId="72" fillId="0" borderId="8" xfId="0" applyNumberFormat="1" applyFont="1" applyBorder="1" applyAlignment="1"/>
    <xf numFmtId="165" fontId="72" fillId="0" borderId="0" xfId="0" applyNumberFormat="1" applyFont="1" applyBorder="1" applyAlignment="1"/>
    <xf numFmtId="0" fontId="72" fillId="0" borderId="0" xfId="0" applyNumberFormat="1" applyFont="1" applyBorder="1" applyAlignment="1">
      <alignment horizontal="right"/>
    </xf>
    <xf numFmtId="0" fontId="72" fillId="0" borderId="33" xfId="0" applyNumberFormat="1" applyFont="1" applyBorder="1" applyAlignment="1">
      <alignment horizontal="right"/>
    </xf>
    <xf numFmtId="165" fontId="72" fillId="0" borderId="0" xfId="0" applyNumberFormat="1" applyFont="1" applyFill="1" applyBorder="1" applyAlignment="1"/>
    <xf numFmtId="165" fontId="72" fillId="13" borderId="11" xfId="0" applyNumberFormat="1" applyFont="1" applyFill="1" applyBorder="1" applyAlignment="1"/>
    <xf numFmtId="165" fontId="72" fillId="13" borderId="55" xfId="0" applyNumberFormat="1" applyFont="1" applyFill="1" applyBorder="1" applyAlignment="1"/>
    <xf numFmtId="0" fontId="72" fillId="0" borderId="0" xfId="0" applyNumberFormat="1" applyFont="1" applyFill="1" applyBorder="1" applyAlignment="1">
      <alignment horizontal="left" indent="1"/>
    </xf>
    <xf numFmtId="0" fontId="72" fillId="0" borderId="33" xfId="0" applyNumberFormat="1" applyFont="1" applyFill="1" applyBorder="1" applyAlignment="1">
      <alignment horizontal="left" indent="1"/>
    </xf>
    <xf numFmtId="165" fontId="72" fillId="13" borderId="8" xfId="0" applyNumberFormat="1" applyFont="1" applyFill="1" applyBorder="1" applyAlignment="1"/>
    <xf numFmtId="165" fontId="72" fillId="13" borderId="0" xfId="0" applyNumberFormat="1" applyFont="1" applyFill="1" applyBorder="1" applyAlignment="1"/>
    <xf numFmtId="0" fontId="72" fillId="0" borderId="0" xfId="0" applyNumberFormat="1" applyFont="1" applyFill="1" applyBorder="1" applyAlignment="1">
      <alignment horizontal="center"/>
    </xf>
    <xf numFmtId="0" fontId="72" fillId="0" borderId="0" xfId="0" applyNumberFormat="1" applyFont="1" applyFill="1" applyAlignment="1"/>
    <xf numFmtId="0" fontId="74" fillId="0" borderId="0" xfId="0" applyNumberFormat="1" applyFont="1" applyBorder="1" applyAlignment="1">
      <alignment horizontal="left" indent="1"/>
    </xf>
    <xf numFmtId="0" fontId="74" fillId="0" borderId="33" xfId="0" applyNumberFormat="1" applyFont="1" applyBorder="1" applyAlignment="1">
      <alignment horizontal="left" indent="1"/>
    </xf>
    <xf numFmtId="6" fontId="72" fillId="0" borderId="0" xfId="0" applyNumberFormat="1" applyFont="1" applyFill="1" applyAlignment="1"/>
    <xf numFmtId="6" fontId="72" fillId="0" borderId="8" xfId="0" applyNumberFormat="1" applyFont="1" applyBorder="1" applyAlignment="1"/>
    <xf numFmtId="6" fontId="72" fillId="0" borderId="0" xfId="0" applyNumberFormat="1" applyFont="1" applyBorder="1" applyAlignment="1"/>
    <xf numFmtId="1" fontId="23" fillId="0" borderId="0" xfId="0" applyNumberFormat="1" applyFont="1" applyAlignment="1">
      <alignment horizontal="center"/>
    </xf>
    <xf numFmtId="0" fontId="72" fillId="0" borderId="0" xfId="0" applyNumberFormat="1" applyFont="1" applyFill="1" applyBorder="1" applyAlignment="1">
      <alignment horizontal="right" indent="1"/>
    </xf>
    <xf numFmtId="8" fontId="23" fillId="0" borderId="0" xfId="0" applyNumberFormat="1" applyFont="1" applyAlignment="1"/>
    <xf numFmtId="8" fontId="72" fillId="0" borderId="0" xfId="0" applyNumberFormat="1" applyFont="1" applyFill="1" applyAlignment="1"/>
    <xf numFmtId="6" fontId="72" fillId="9" borderId="0" xfId="0" applyNumberFormat="1" applyFont="1" applyFill="1" applyBorder="1" applyAlignment="1"/>
    <xf numFmtId="8" fontId="72" fillId="0" borderId="0" xfId="0" applyNumberFormat="1" applyFont="1" applyFill="1" applyBorder="1" applyAlignment="1">
      <alignment horizontal="center"/>
    </xf>
    <xf numFmtId="8" fontId="72" fillId="0" borderId="0" xfId="0" applyNumberFormat="1" applyFont="1" applyFill="1" applyBorder="1" applyAlignment="1">
      <alignment horizontal="right" indent="1"/>
    </xf>
    <xf numFmtId="44" fontId="72" fillId="0" borderId="8" xfId="0" applyNumberFormat="1" applyFont="1" applyBorder="1" applyAlignment="1"/>
    <xf numFmtId="44" fontId="72" fillId="0" borderId="0" xfId="0" applyNumberFormat="1" applyFont="1" applyBorder="1" applyAlignment="1"/>
    <xf numFmtId="6" fontId="72" fillId="0" borderId="11" xfId="0" applyNumberFormat="1" applyFont="1" applyBorder="1" applyAlignment="1"/>
    <xf numFmtId="6" fontId="72" fillId="0" borderId="55" xfId="0" applyNumberFormat="1" applyFont="1" applyBorder="1" applyAlignment="1"/>
    <xf numFmtId="6" fontId="72" fillId="9" borderId="55" xfId="0" applyNumberFormat="1" applyFont="1" applyFill="1" applyBorder="1" applyAlignment="1"/>
    <xf numFmtId="1" fontId="72" fillId="0" borderId="0" xfId="0" applyNumberFormat="1" applyFont="1" applyFill="1" applyAlignment="1">
      <alignment horizontal="center"/>
    </xf>
    <xf numFmtId="0" fontId="74" fillId="0" borderId="0" xfId="0" applyNumberFormat="1" applyFont="1" applyBorder="1" applyAlignment="1">
      <alignment horizontal="center"/>
    </xf>
    <xf numFmtId="17" fontId="74" fillId="0" borderId="0" xfId="0" applyNumberFormat="1" applyFont="1" applyFill="1" applyAlignment="1">
      <alignment horizontal="right"/>
    </xf>
    <xf numFmtId="17" fontId="74" fillId="0" borderId="8" xfId="0" applyNumberFormat="1" applyFont="1" applyBorder="1" applyAlignment="1">
      <alignment horizontal="right"/>
    </xf>
    <xf numFmtId="17" fontId="74" fillId="0" borderId="0" xfId="0" applyNumberFormat="1" applyFont="1" applyBorder="1" applyAlignment="1"/>
    <xf numFmtId="0" fontId="73" fillId="0" borderId="0" xfId="0" applyNumberFormat="1" applyFont="1" applyBorder="1" applyAlignment="1">
      <alignment horizontal="center"/>
    </xf>
    <xf numFmtId="0" fontId="74" fillId="0" borderId="0" xfId="0" applyNumberFormat="1" applyFont="1" applyBorder="1" applyAlignment="1"/>
    <xf numFmtId="37" fontId="72" fillId="0" borderId="0" xfId="0" applyNumberFormat="1" applyFont="1" applyFill="1" applyAlignment="1"/>
    <xf numFmtId="37" fontId="72" fillId="0" borderId="8" xfId="0" applyNumberFormat="1" applyFont="1" applyBorder="1" applyAlignment="1"/>
    <xf numFmtId="37" fontId="72" fillId="0" borderId="0" xfId="0" applyNumberFormat="1" applyFont="1" applyBorder="1" applyAlignment="1"/>
    <xf numFmtId="37" fontId="72" fillId="0" borderId="0" xfId="0" applyNumberFormat="1" applyFont="1" applyFill="1" applyBorder="1" applyAlignment="1"/>
    <xf numFmtId="37" fontId="72" fillId="0" borderId="11" xfId="0" applyNumberFormat="1" applyFont="1" applyBorder="1" applyAlignment="1"/>
    <xf numFmtId="37" fontId="72" fillId="0" borderId="55" xfId="0" applyNumberFormat="1" applyFont="1" applyBorder="1" applyAlignment="1"/>
    <xf numFmtId="0" fontId="21" fillId="13" borderId="1" xfId="0" applyNumberFormat="1" applyFont="1" applyFill="1" applyBorder="1" applyAlignment="1"/>
    <xf numFmtId="0" fontId="21" fillId="13" borderId="32" xfId="0" applyNumberFormat="1" applyFont="1" applyFill="1" applyBorder="1" applyAlignment="1"/>
    <xf numFmtId="6" fontId="75" fillId="0" borderId="55" xfId="0" applyNumberFormat="1" applyFont="1" applyFill="1" applyBorder="1" applyAlignment="1">
      <alignment horizontal="center"/>
    </xf>
    <xf numFmtId="165" fontId="75" fillId="0" borderId="55" xfId="0" applyNumberFormat="1" applyFont="1" applyFill="1" applyBorder="1" applyAlignment="1">
      <alignment horizontal="center"/>
    </xf>
    <xf numFmtId="0" fontId="75" fillId="0" borderId="55" xfId="0" applyNumberFormat="1" applyFont="1" applyBorder="1" applyAlignment="1">
      <alignment horizontal="center" wrapText="1"/>
    </xf>
    <xf numFmtId="6" fontId="75" fillId="0" borderId="55" xfId="0" applyNumberFormat="1" applyFont="1" applyBorder="1" applyAlignment="1">
      <alignment horizontal="center"/>
    </xf>
    <xf numFmtId="8" fontId="75" fillId="2" borderId="55" xfId="0" applyNumberFormat="1" applyFont="1" applyFill="1" applyBorder="1" applyAlignment="1">
      <alignment horizontal="center"/>
    </xf>
    <xf numFmtId="37" fontId="75" fillId="0" borderId="55" xfId="0" applyNumberFormat="1" applyFont="1" applyBorder="1" applyAlignment="1">
      <alignment horizontal="center"/>
    </xf>
    <xf numFmtId="0" fontId="75" fillId="0" borderId="55" xfId="0" applyNumberFormat="1" applyFont="1" applyFill="1" applyBorder="1" applyAlignment="1">
      <alignment horizontal="center"/>
    </xf>
    <xf numFmtId="0" fontId="76" fillId="0" borderId="55" xfId="0" applyNumberFormat="1" applyFont="1" applyFill="1" applyBorder="1" applyAlignment="1">
      <alignment horizontal="center"/>
    </xf>
    <xf numFmtId="0" fontId="72" fillId="0" borderId="55" xfId="0" applyNumberFormat="1" applyFont="1" applyFill="1" applyBorder="1" applyAlignment="1">
      <alignment horizontal="center" wrapText="1"/>
    </xf>
    <xf numFmtId="0" fontId="72" fillId="0" borderId="55" xfId="0" applyNumberFormat="1" applyFont="1" applyBorder="1" applyAlignment="1">
      <alignment horizontal="center" wrapText="1"/>
    </xf>
    <xf numFmtId="0" fontId="20" fillId="13" borderId="1" xfId="0" applyNumberFormat="1" applyFont="1" applyFill="1" applyBorder="1" applyAlignment="1"/>
    <xf numFmtId="17" fontId="74" fillId="0" borderId="0" xfId="0" applyNumberFormat="1" applyFont="1" applyBorder="1" applyAlignment="1">
      <alignment horizontal="center" vertical="center"/>
    </xf>
    <xf numFmtId="0" fontId="30" fillId="0" borderId="33" xfId="0" applyNumberFormat="1" applyFont="1" applyBorder="1" applyAlignment="1">
      <alignment horizontal="left" indent="1"/>
    </xf>
    <xf numFmtId="0" fontId="30" fillId="0" borderId="0" xfId="0" applyNumberFormat="1" applyFont="1" applyAlignment="1"/>
    <xf numFmtId="0" fontId="72" fillId="0" borderId="0" xfId="0" applyNumberFormat="1" applyFont="1" applyAlignment="1">
      <alignment horizontal="center"/>
    </xf>
    <xf numFmtId="166" fontId="72" fillId="0" borderId="38" xfId="0" applyNumberFormat="1" applyFont="1" applyBorder="1" applyAlignment="1">
      <alignment horizontal="center"/>
    </xf>
    <xf numFmtId="165" fontId="72" fillId="0" borderId="38" xfId="0" applyNumberFormat="1" applyFont="1" applyFill="1" applyBorder="1" applyAlignment="1">
      <alignment horizontal="center"/>
    </xf>
    <xf numFmtId="0" fontId="30" fillId="0" borderId="0" xfId="0" applyNumberFormat="1" applyFont="1" applyAlignment="1">
      <alignment wrapText="1"/>
    </xf>
    <xf numFmtId="166" fontId="72" fillId="0" borderId="55" xfId="0" applyNumberFormat="1" applyFont="1" applyBorder="1" applyAlignment="1">
      <alignment horizontal="center"/>
    </xf>
    <xf numFmtId="165" fontId="72" fillId="0" borderId="55" xfId="0" applyNumberFormat="1" applyFont="1" applyFill="1" applyBorder="1" applyAlignment="1">
      <alignment horizontal="center"/>
    </xf>
    <xf numFmtId="0" fontId="29" fillId="0" borderId="0" xfId="0" applyNumberFormat="1" applyFont="1" applyAlignment="1">
      <alignment horizontal="right"/>
    </xf>
    <xf numFmtId="166" fontId="72" fillId="0" borderId="0" xfId="0" applyNumberFormat="1" applyFont="1" applyAlignment="1">
      <alignment horizontal="center"/>
    </xf>
    <xf numFmtId="165" fontId="72" fillId="0" borderId="0" xfId="0" applyNumberFormat="1" applyFont="1" applyFill="1" applyBorder="1" applyAlignment="1">
      <alignment horizontal="center"/>
    </xf>
    <xf numFmtId="0" fontId="68" fillId="0" borderId="55" xfId="0" applyNumberFormat="1" applyFont="1" applyBorder="1" applyAlignment="1">
      <alignment horizontal="center"/>
    </xf>
    <xf numFmtId="166" fontId="68" fillId="0" borderId="55" xfId="0" applyNumberFormat="1" applyFont="1" applyBorder="1" applyAlignment="1">
      <alignment horizontal="center"/>
    </xf>
    <xf numFmtId="0" fontId="68" fillId="0" borderId="55" xfId="0" applyNumberFormat="1" applyFont="1" applyBorder="1" applyAlignment="1">
      <alignment horizontal="center" wrapText="1"/>
    </xf>
    <xf numFmtId="0" fontId="68" fillId="0" borderId="55" xfId="0" applyNumberFormat="1" applyFont="1" applyBorder="1" applyAlignment="1">
      <alignment horizontal="right"/>
    </xf>
    <xf numFmtId="0" fontId="68" fillId="0" borderId="0" xfId="0" applyNumberFormat="1" applyFont="1" applyBorder="1" applyAlignment="1">
      <alignment horizontal="center"/>
    </xf>
    <xf numFmtId="0" fontId="77" fillId="14" borderId="0" xfId="0" applyNumberFormat="1" applyFont="1" applyFill="1" applyAlignment="1">
      <alignment wrapText="1"/>
    </xf>
    <xf numFmtId="39" fontId="12" fillId="5" borderId="0" xfId="0" applyNumberFormat="1" applyFont="1" applyFill="1" applyAlignment="1"/>
    <xf numFmtId="39" fontId="12" fillId="0" borderId="0" xfId="0" applyNumberFormat="1" applyFont="1" applyAlignment="1"/>
    <xf numFmtId="7" fontId="12" fillId="0" borderId="0" xfId="0" applyNumberFormat="1" applyFont="1" applyAlignment="1"/>
    <xf numFmtId="7" fontId="12" fillId="5" borderId="0" xfId="0" applyNumberFormat="1" applyFont="1" applyFill="1" applyAlignment="1"/>
    <xf numFmtId="7" fontId="12" fillId="0" borderId="0" xfId="0" applyNumberFormat="1" applyFont="1" applyFill="1" applyAlignment="1"/>
    <xf numFmtId="0" fontId="12" fillId="5" borderId="0" xfId="0" applyNumberFormat="1" applyFont="1" applyFill="1" applyAlignment="1">
      <alignment horizontal="center"/>
    </xf>
    <xf numFmtId="17" fontId="61" fillId="0" borderId="0" xfId="0" applyNumberFormat="1" applyFont="1" applyAlignment="1"/>
    <xf numFmtId="0" fontId="15" fillId="15" borderId="0" xfId="0" applyNumberFormat="1" applyFont="1" applyFill="1" applyAlignment="1">
      <alignment wrapText="1"/>
    </xf>
    <xf numFmtId="0" fontId="12" fillId="5" borderId="0" xfId="0" applyNumberFormat="1" applyFont="1" applyFill="1" applyAlignment="1"/>
    <xf numFmtId="0" fontId="12" fillId="15" borderId="0" xfId="0" applyNumberFormat="1" applyFont="1" applyFill="1" applyAlignment="1"/>
    <xf numFmtId="0" fontId="77" fillId="14" borderId="0" xfId="0" applyNumberFormat="1" applyFont="1" applyFill="1" applyAlignment="1"/>
    <xf numFmtId="7" fontId="12" fillId="16" borderId="0" xfId="0" applyNumberFormat="1" applyFont="1" applyFill="1" applyAlignment="1"/>
    <xf numFmtId="0" fontId="12" fillId="17" borderId="0" xfId="0" applyNumberFormat="1" applyFont="1" applyFill="1" applyAlignment="1"/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5" fontId="0" fillId="0" borderId="0" xfId="0" applyNumberFormat="1" applyAlignment="1"/>
    <xf numFmtId="0" fontId="0" fillId="0" borderId="0" xfId="0" applyNumberFormat="1" applyFill="1" applyAlignment="1"/>
    <xf numFmtId="37" fontId="0" fillId="0" borderId="0" xfId="0" applyNumberFormat="1" applyFill="1" applyAlignment="1"/>
    <xf numFmtId="0" fontId="0" fillId="0" borderId="0" xfId="0" applyNumberFormat="1" applyFill="1" applyAlignment="1" applyProtection="1">
      <alignment horizontal="center"/>
      <protection locked="0"/>
    </xf>
    <xf numFmtId="165" fontId="12" fillId="0" borderId="0" xfId="0" applyNumberFormat="1" applyFont="1" applyAlignment="1"/>
    <xf numFmtId="0" fontId="21" fillId="8" borderId="0" xfId="0" applyNumberFormat="1" applyFont="1" applyFill="1" applyAlignment="1"/>
    <xf numFmtId="0" fontId="0" fillId="13" borderId="42" xfId="0" applyNumberFormat="1" applyFill="1" applyBorder="1" applyAlignment="1"/>
    <xf numFmtId="0" fontId="0" fillId="13" borderId="0" xfId="0" applyNumberFormat="1" applyFill="1" applyBorder="1" applyAlignment="1"/>
    <xf numFmtId="164" fontId="21" fillId="13" borderId="6" xfId="0" applyFont="1" applyFill="1" applyBorder="1" applyAlignment="1"/>
    <xf numFmtId="44" fontId="0" fillId="0" borderId="0" xfId="0" applyNumberFormat="1" applyFill="1" applyAlignment="1"/>
    <xf numFmtId="0" fontId="0" fillId="13" borderId="0" xfId="0" applyNumberFormat="1" applyFill="1" applyAlignment="1"/>
    <xf numFmtId="5" fontId="51" fillId="13" borderId="0" xfId="0" applyNumberFormat="1" applyFont="1" applyFill="1" applyBorder="1" applyAlignment="1"/>
    <xf numFmtId="164" fontId="51" fillId="13" borderId="0" xfId="0" applyFont="1" applyFill="1" applyAlignment="1">
      <alignment horizontal="right"/>
    </xf>
    <xf numFmtId="178" fontId="0" fillId="0" borderId="0" xfId="0" applyNumberFormat="1" applyFill="1" applyAlignment="1"/>
    <xf numFmtId="0" fontId="0" fillId="13" borderId="55" xfId="0" applyNumberFormat="1" applyFill="1" applyBorder="1" applyAlignment="1"/>
    <xf numFmtId="0" fontId="0" fillId="13" borderId="1" xfId="0" applyNumberFormat="1" applyFill="1" applyBorder="1" applyAlignment="1"/>
    <xf numFmtId="164" fontId="32" fillId="13" borderId="0" xfId="0" applyFont="1" applyFill="1" applyAlignment="1"/>
    <xf numFmtId="5" fontId="51" fillId="13" borderId="0" xfId="0" applyNumberFormat="1" applyFont="1" applyFill="1" applyAlignment="1"/>
    <xf numFmtId="165" fontId="0" fillId="13" borderId="0" xfId="0" applyNumberFormat="1" applyFill="1" applyAlignment="1"/>
    <xf numFmtId="165" fontId="0" fillId="0" borderId="4" xfId="0" applyNumberFormat="1" applyFill="1" applyBorder="1" applyAlignment="1"/>
    <xf numFmtId="5" fontId="0" fillId="0" borderId="0" xfId="0" applyNumberFormat="1" applyFill="1" applyAlignment="1"/>
    <xf numFmtId="5" fontId="0" fillId="9" borderId="0" xfId="0" applyNumberFormat="1" applyFill="1" applyAlignment="1"/>
    <xf numFmtId="165" fontId="12" fillId="0" borderId="0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165" fontId="0" fillId="0" borderId="0" xfId="0" applyNumberFormat="1" applyAlignment="1"/>
    <xf numFmtId="0" fontId="79" fillId="0" borderId="0" xfId="0" applyNumberFormat="1" applyFont="1" applyAlignment="1"/>
    <xf numFmtId="165" fontId="12" fillId="18" borderId="0" xfId="0" applyNumberFormat="1" applyFont="1" applyFill="1" applyBorder="1" applyAlignment="1"/>
    <xf numFmtId="43" fontId="12" fillId="18" borderId="0" xfId="0" applyNumberFormat="1" applyFont="1" applyFill="1" applyBorder="1" applyAlignment="1"/>
    <xf numFmtId="0" fontId="12" fillId="18" borderId="0" xfId="0" applyNumberFormat="1" applyFont="1" applyFill="1" applyAlignment="1"/>
    <xf numFmtId="0" fontId="35" fillId="18" borderId="0" xfId="0" applyNumberFormat="1" applyFont="1" applyFill="1" applyAlignment="1">
      <alignment horizontal="left"/>
    </xf>
    <xf numFmtId="165" fontId="12" fillId="0" borderId="0" xfId="0" applyNumberFormat="1" applyFont="1" applyBorder="1" applyAlignment="1"/>
    <xf numFmtId="43" fontId="12" fillId="0" borderId="0" xfId="0" applyNumberFormat="1" applyFont="1" applyBorder="1" applyAlignment="1"/>
    <xf numFmtId="0" fontId="0" fillId="0" borderId="0" xfId="0" applyNumberFormat="1" applyBorder="1" applyAlignment="1">
      <alignment wrapText="1"/>
    </xf>
    <xf numFmtId="164" fontId="13" fillId="0" borderId="0" xfId="0" applyFont="1" applyAlignment="1">
      <alignment wrapText="1"/>
    </xf>
    <xf numFmtId="0" fontId="0" fillId="0" borderId="0" xfId="0" applyNumberFormat="1" applyBorder="1" applyAlignment="1">
      <alignment horizontal="left" wrapText="1"/>
    </xf>
    <xf numFmtId="165" fontId="12" fillId="9" borderId="0" xfId="0" applyNumberFormat="1" applyFont="1" applyFill="1" applyBorder="1" applyAlignment="1"/>
    <xf numFmtId="165" fontId="0" fillId="0" borderId="0" xfId="0" applyNumberFormat="1" applyFill="1" applyBorder="1" applyAlignment="1">
      <alignment horizontal="left" wrapText="1"/>
    </xf>
    <xf numFmtId="167" fontId="80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57" fillId="0" borderId="0" xfId="0" applyNumberFormat="1" applyFont="1" applyAlignment="1">
      <alignment horizontal="center" vertical="top"/>
    </xf>
    <xf numFmtId="0" fontId="0" fillId="0" borderId="5" xfId="0" applyNumberFormat="1" applyBorder="1" applyAlignment="1">
      <alignment wrapText="1"/>
    </xf>
    <xf numFmtId="0" fontId="80" fillId="0" borderId="0" xfId="0" quotePrefix="1" applyNumberFormat="1" applyFont="1" applyAlignment="1">
      <alignment horizontal="center"/>
    </xf>
    <xf numFmtId="165" fontId="0" fillId="9" borderId="0" xfId="0" applyNumberFormat="1" applyFill="1" applyAlignment="1"/>
    <xf numFmtId="0" fontId="80" fillId="0" borderId="0" xfId="0" applyNumberFormat="1" applyFont="1" applyAlignment="1"/>
    <xf numFmtId="165" fontId="12" fillId="0" borderId="2" xfId="0" applyNumberFormat="1" applyFont="1" applyBorder="1" applyAlignment="1"/>
    <xf numFmtId="165" fontId="12" fillId="9" borderId="2" xfId="0" applyNumberFormat="1" applyFont="1" applyFill="1" applyBorder="1" applyAlignment="1"/>
    <xf numFmtId="0" fontId="0" fillId="0" borderId="0" xfId="0" quotePrefix="1" applyNumberFormat="1" applyAlignment="1" applyProtection="1">
      <alignment horizontal="left"/>
      <protection locked="0"/>
    </xf>
    <xf numFmtId="166" fontId="14" fillId="0" borderId="0" xfId="0" applyNumberFormat="1" applyFont="1" applyBorder="1" applyAlignment="1"/>
    <xf numFmtId="168" fontId="80" fillId="0" borderId="0" xfId="0" applyNumberFormat="1" applyFont="1" applyFill="1" applyBorder="1" applyAlignment="1"/>
    <xf numFmtId="0" fontId="0" fillId="0" borderId="0" xfId="0" applyNumberFormat="1" applyAlignment="1">
      <alignment horizontal="right"/>
    </xf>
    <xf numFmtId="0" fontId="12" fillId="0" borderId="0" xfId="0" applyNumberFormat="1" applyFont="1" applyAlignment="1">
      <alignment horizontal="right"/>
    </xf>
    <xf numFmtId="0" fontId="53" fillId="0" borderId="0" xfId="0" applyNumberFormat="1" applyFont="1" applyFill="1" applyAlignment="1">
      <alignment horizontal="left"/>
    </xf>
    <xf numFmtId="166" fontId="12" fillId="0" borderId="0" xfId="0" applyNumberFormat="1" applyFont="1" applyBorder="1" applyAlignment="1"/>
    <xf numFmtId="0" fontId="12" fillId="9" borderId="0" xfId="0" applyNumberFormat="1" applyFont="1" applyFill="1" applyAlignment="1">
      <alignment horizontal="right"/>
    </xf>
    <xf numFmtId="0" fontId="0" fillId="0" borderId="5" xfId="0" applyNumberFormat="1" applyFill="1" applyBorder="1" applyAlignment="1">
      <alignment wrapText="1"/>
    </xf>
    <xf numFmtId="37" fontId="14" fillId="0" borderId="0" xfId="0" applyNumberFormat="1" applyFont="1" applyFill="1" applyBorder="1" applyAlignment="1"/>
    <xf numFmtId="43" fontId="14" fillId="0" borderId="0" xfId="0" applyNumberFormat="1" applyFont="1" applyFill="1" applyBorder="1" applyAlignment="1"/>
    <xf numFmtId="43" fontId="13" fillId="0" borderId="0" xfId="0" applyNumberFormat="1" applyFont="1" applyFill="1" applyBorder="1" applyAlignment="1"/>
    <xf numFmtId="0" fontId="12" fillId="9" borderId="0" xfId="0" applyNumberFormat="1" applyFont="1" applyFill="1" applyAlignment="1" applyProtection="1">
      <alignment horizontal="left"/>
      <protection locked="0"/>
    </xf>
    <xf numFmtId="166" fontId="14" fillId="9" borderId="0" xfId="0" applyNumberFormat="1" applyFont="1" applyFill="1" applyBorder="1" applyAlignment="1"/>
    <xf numFmtId="37" fontId="14" fillId="9" borderId="0" xfId="0" applyNumberFormat="1" applyFont="1" applyFill="1" applyBorder="1" applyAlignment="1"/>
    <xf numFmtId="0" fontId="0" fillId="0" borderId="0" xfId="0" applyNumberFormat="1" applyAlignment="1" applyProtection="1">
      <alignment horizontal="left"/>
      <protection locked="0"/>
    </xf>
    <xf numFmtId="37" fontId="14" fillId="0" borderId="0" xfId="0" applyNumberFormat="1" applyFont="1" applyBorder="1" applyAlignment="1"/>
    <xf numFmtId="166" fontId="16" fillId="0" borderId="0" xfId="0" applyNumberFormat="1" applyFont="1" applyBorder="1" applyAlignment="1"/>
    <xf numFmtId="169" fontId="12" fillId="0" borderId="0" xfId="0" applyNumberFormat="1" applyFont="1" applyBorder="1" applyAlignment="1"/>
    <xf numFmtId="166" fontId="14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170" fontId="12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indent="1"/>
    </xf>
    <xf numFmtId="165" fontId="12" fillId="0" borderId="1" xfId="0" applyNumberFormat="1" applyFont="1" applyFill="1" applyBorder="1" applyAlignment="1"/>
    <xf numFmtId="43" fontId="12" fillId="0" borderId="0" xfId="0" applyNumberFormat="1" applyFont="1" applyFill="1" applyAlignment="1"/>
    <xf numFmtId="17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left" indent="1"/>
    </xf>
    <xf numFmtId="0" fontId="0" fillId="0" borderId="0" xfId="0" applyNumberFormat="1" applyFill="1" applyAlignment="1">
      <alignment horizontal="left" indent="1"/>
    </xf>
    <xf numFmtId="165" fontId="14" fillId="0" borderId="0" xfId="0" applyNumberFormat="1" applyFont="1" applyBorder="1" applyAlignment="1"/>
    <xf numFmtId="43" fontId="81" fillId="0" borderId="0" xfId="0" applyNumberFormat="1" applyFont="1" applyAlignment="1">
      <alignment horizontal="center"/>
    </xf>
    <xf numFmtId="17" fontId="13" fillId="0" borderId="0" xfId="0" applyNumberFormat="1" applyFont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/>
    <xf numFmtId="0" fontId="13" fillId="0" borderId="0" xfId="0" applyNumberFormat="1" applyFont="1" applyFill="1" applyBorder="1" applyAlignment="1">
      <alignment horizontal="centerContinuous"/>
    </xf>
    <xf numFmtId="0" fontId="0" fillId="0" borderId="0" xfId="0" applyNumberFormat="1" applyAlignment="1">
      <alignment horizontal="left"/>
    </xf>
    <xf numFmtId="0" fontId="57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/>
    </xf>
    <xf numFmtId="164" fontId="10" fillId="0" borderId="0" xfId="0" applyFont="1" applyAlignment="1">
      <alignment horizontal="left"/>
    </xf>
    <xf numFmtId="0" fontId="71" fillId="0" borderId="0" xfId="0" applyNumberFormat="1" applyFont="1" applyFill="1" applyAlignment="1">
      <alignment horizontal="left"/>
    </xf>
    <xf numFmtId="166" fontId="59" fillId="0" borderId="0" xfId="0" applyNumberFormat="1" applyFont="1" applyFill="1" applyBorder="1" applyAlignment="1"/>
    <xf numFmtId="166" fontId="12" fillId="0" borderId="3" xfId="0" applyNumberFormat="1" applyFont="1" applyBorder="1" applyAlignment="1"/>
    <xf numFmtId="166" fontId="13" fillId="0" borderId="0" xfId="0" applyNumberFormat="1" applyFont="1" applyAlignment="1">
      <alignment horizontal="left"/>
    </xf>
    <xf numFmtId="166" fontId="15" fillId="0" borderId="0" xfId="0" applyNumberFormat="1" applyFont="1" applyAlignment="1"/>
    <xf numFmtId="0" fontId="82" fillId="0" borderId="0" xfId="0" applyNumberFormat="1" applyFont="1" applyAlignment="1"/>
    <xf numFmtId="166" fontId="14" fillId="0" borderId="0" xfId="0" applyNumberFormat="1" applyFont="1" applyFill="1" applyAlignment="1"/>
    <xf numFmtId="166" fontId="14" fillId="0" borderId="0" xfId="0" applyNumberFormat="1" applyFont="1" applyAlignment="1"/>
    <xf numFmtId="166" fontId="13" fillId="0" borderId="0" xfId="0" applyNumberFormat="1" applyFont="1" applyFill="1" applyAlignment="1"/>
    <xf numFmtId="0" fontId="80" fillId="0" borderId="0" xfId="0" applyNumberFormat="1" applyFont="1" applyFill="1" applyAlignment="1">
      <alignment horizontal="right"/>
    </xf>
    <xf numFmtId="166" fontId="80" fillId="0" borderId="0" xfId="0" applyNumberFormat="1" applyFont="1" applyAlignment="1">
      <alignment horizontal="center"/>
    </xf>
    <xf numFmtId="166" fontId="12" fillId="0" borderId="3" xfId="0" applyNumberFormat="1" applyFont="1" applyFill="1" applyBorder="1" applyAlignment="1"/>
    <xf numFmtId="166" fontId="14" fillId="9" borderId="0" xfId="0" applyNumberFormat="1" applyFont="1" applyFill="1" applyAlignment="1"/>
    <xf numFmtId="166" fontId="57" fillId="0" borderId="0" xfId="0" applyNumberFormat="1" applyFont="1" applyAlignment="1"/>
    <xf numFmtId="0" fontId="53" fillId="0" borderId="0" xfId="0" applyNumberFormat="1" applyFont="1" applyAlignment="1">
      <alignment horizontal="center"/>
    </xf>
    <xf numFmtId="0" fontId="10" fillId="0" borderId="0" xfId="0" applyNumberFormat="1" applyFont="1" applyAlignment="1"/>
    <xf numFmtId="0" fontId="10" fillId="0" borderId="0" xfId="0" applyNumberFormat="1" applyFont="1" applyFill="1" applyAlignment="1"/>
    <xf numFmtId="0" fontId="57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Alignment="1"/>
    <xf numFmtId="166" fontId="17" fillId="0" borderId="9" xfId="0" applyNumberFormat="1" applyFont="1" applyFill="1" applyBorder="1" applyAlignment="1">
      <alignment vertical="center" wrapText="1"/>
    </xf>
    <xf numFmtId="166" fontId="17" fillId="0" borderId="45" xfId="0" applyNumberFormat="1" applyFont="1" applyFill="1" applyBorder="1" applyAlignment="1">
      <alignment vertical="center" wrapText="1"/>
    </xf>
    <xf numFmtId="166" fontId="80" fillId="0" borderId="9" xfId="0" applyNumberFormat="1" applyFont="1" applyFill="1" applyBorder="1" applyAlignment="1">
      <alignment vertical="center" wrapText="1"/>
    </xf>
    <xf numFmtId="0" fontId="13" fillId="10" borderId="19" xfId="0" applyNumberFormat="1" applyFont="1" applyFill="1" applyBorder="1" applyAlignment="1">
      <alignment horizontal="left" wrapText="1"/>
    </xf>
    <xf numFmtId="170" fontId="47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 applyProtection="1">
      <alignment horizontal="centerContinuous"/>
      <protection locked="0"/>
    </xf>
    <xf numFmtId="164" fontId="42" fillId="0" borderId="0" xfId="0" applyFont="1" applyFill="1" applyAlignment="1"/>
    <xf numFmtId="164" fontId="42" fillId="0" borderId="0" xfId="0" applyFont="1" applyFill="1" applyAlignment="1">
      <alignment horizontal="centerContinuous"/>
    </xf>
    <xf numFmtId="0" fontId="93" fillId="0" borderId="0" xfId="0" applyNumberFormat="1" applyFont="1" applyFill="1" applyAlignment="1" applyProtection="1">
      <alignment horizontal="centerContinuous"/>
      <protection locked="0"/>
    </xf>
    <xf numFmtId="164" fontId="94" fillId="0" borderId="0" xfId="0" applyFont="1" applyFill="1" applyAlignment="1">
      <alignment horizontal="centerContinuous"/>
    </xf>
    <xf numFmtId="164" fontId="95" fillId="0" borderId="0" xfId="0" applyFont="1" applyAlignment="1">
      <alignment horizontal="centerContinuous"/>
    </xf>
    <xf numFmtId="164" fontId="42" fillId="0" borderId="0" xfId="0" applyFont="1" applyAlignment="1">
      <alignment horizontal="center"/>
    </xf>
    <xf numFmtId="164" fontId="42" fillId="0" borderId="0" xfId="0" applyFont="1" applyAlignment="1"/>
    <xf numFmtId="164" fontId="43" fillId="19" borderId="51" xfId="0" applyFont="1" applyFill="1" applyBorder="1" applyAlignment="1">
      <alignment horizontal="centerContinuous"/>
    </xf>
    <xf numFmtId="164" fontId="42" fillId="19" borderId="3" xfId="0" applyFont="1" applyFill="1" applyBorder="1" applyAlignment="1">
      <alignment horizontal="centerContinuous"/>
    </xf>
    <xf numFmtId="164" fontId="42" fillId="19" borderId="57" xfId="0" applyFont="1" applyFill="1" applyBorder="1" applyAlignment="1">
      <alignment horizontal="centerContinuous"/>
    </xf>
    <xf numFmtId="164" fontId="42" fillId="19" borderId="58" xfId="0" applyFont="1" applyFill="1" applyBorder="1" applyAlignment="1"/>
    <xf numFmtId="164" fontId="42" fillId="0" borderId="59" xfId="0" applyFont="1" applyBorder="1" applyAlignment="1"/>
    <xf numFmtId="164" fontId="42" fillId="19" borderId="59" xfId="0" applyFont="1" applyFill="1" applyBorder="1" applyAlignment="1"/>
    <xf numFmtId="17" fontId="43" fillId="0" borderId="59" xfId="0" applyNumberFormat="1" applyFont="1" applyBorder="1" applyAlignment="1">
      <alignment horizontal="center"/>
    </xf>
    <xf numFmtId="164" fontId="43" fillId="19" borderId="53" xfId="0" quotePrefix="1" applyFont="1" applyFill="1" applyBorder="1" applyAlignment="1">
      <alignment horizontal="center"/>
    </xf>
    <xf numFmtId="164" fontId="43" fillId="19" borderId="59" xfId="0" applyFont="1" applyFill="1" applyBorder="1" applyAlignment="1">
      <alignment horizontal="center"/>
    </xf>
    <xf numFmtId="164" fontId="43" fillId="19" borderId="8" xfId="0" applyFont="1" applyFill="1" applyBorder="1" applyAlignment="1">
      <alignment horizontal="center"/>
    </xf>
    <xf numFmtId="0" fontId="43" fillId="0" borderId="0" xfId="0" quotePrefix="1" applyNumberFormat="1" applyFont="1" applyFill="1" applyBorder="1" applyAlignment="1">
      <alignment horizontal="centerContinuous"/>
    </xf>
    <xf numFmtId="164" fontId="43" fillId="19" borderId="60" xfId="0" applyFont="1" applyFill="1" applyBorder="1" applyAlignment="1">
      <alignment horizontal="center"/>
    </xf>
    <xf numFmtId="164" fontId="43" fillId="0" borderId="61" xfId="0" applyFont="1" applyBorder="1" applyAlignment="1"/>
    <xf numFmtId="164" fontId="43" fillId="19" borderId="61" xfId="0" applyFont="1" applyFill="1" applyBorder="1" applyAlignment="1">
      <alignment horizontal="center"/>
    </xf>
    <xf numFmtId="164" fontId="43" fillId="0" borderId="61" xfId="0" applyFont="1" applyBorder="1" applyAlignment="1">
      <alignment horizontal="center"/>
    </xf>
    <xf numFmtId="164" fontId="43" fillId="0" borderId="60" xfId="0" applyFont="1" applyBorder="1" applyAlignment="1">
      <alignment horizontal="center"/>
    </xf>
    <xf numFmtId="164" fontId="43" fillId="0" borderId="0" xfId="0" applyFont="1" applyFill="1" applyAlignment="1">
      <alignment horizontal="center"/>
    </xf>
    <xf numFmtId="0" fontId="43" fillId="0" borderId="0" xfId="0" applyNumberFormat="1" applyFont="1" applyFill="1" applyAlignment="1"/>
    <xf numFmtId="164" fontId="43" fillId="0" borderId="55" xfId="0" applyFont="1" applyFill="1" applyBorder="1" applyAlignment="1">
      <alignment horizontal="center"/>
    </xf>
    <xf numFmtId="0" fontId="43" fillId="0" borderId="55" xfId="0" applyNumberFormat="1" applyFont="1" applyFill="1" applyBorder="1" applyAlignment="1">
      <alignment horizontal="center"/>
    </xf>
    <xf numFmtId="0" fontId="43" fillId="0" borderId="55" xfId="0" quotePrefix="1" applyNumberFormat="1" applyFont="1" applyFill="1" applyBorder="1" applyAlignment="1">
      <alignment horizontal="center"/>
    </xf>
    <xf numFmtId="164" fontId="43" fillId="19" borderId="62" xfId="0" applyFont="1" applyFill="1" applyBorder="1" applyAlignment="1">
      <alignment horizontal="center"/>
    </xf>
    <xf numFmtId="164" fontId="43" fillId="0" borderId="63" xfId="0" applyFont="1" applyBorder="1" applyAlignment="1">
      <alignment horizontal="center"/>
    </xf>
    <xf numFmtId="164" fontId="43" fillId="19" borderId="63" xfId="0" applyFont="1" applyFill="1" applyBorder="1" applyAlignment="1">
      <alignment horizontal="center"/>
    </xf>
    <xf numFmtId="164" fontId="43" fillId="19" borderId="11" xfId="0" applyFont="1" applyFill="1" applyBorder="1" applyAlignment="1">
      <alignment horizontal="center"/>
    </xf>
    <xf numFmtId="164" fontId="43" fillId="0" borderId="62" xfId="0" applyFont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left"/>
    </xf>
    <xf numFmtId="174" fontId="42" fillId="0" borderId="0" xfId="0" quotePrefix="1" applyNumberFormat="1" applyFont="1" applyFill="1" applyBorder="1" applyAlignment="1">
      <alignment horizontal="left"/>
    </xf>
    <xf numFmtId="42" fontId="47" fillId="0" borderId="0" xfId="0" applyNumberFormat="1" applyFont="1" applyFill="1" applyBorder="1" applyAlignment="1"/>
    <xf numFmtId="164" fontId="47" fillId="0" borderId="0" xfId="0" applyFont="1" applyFill="1" applyAlignment="1">
      <alignment horizontal="left" wrapText="1"/>
    </xf>
    <xf numFmtId="164" fontId="42" fillId="0" borderId="0" xfId="0" applyFont="1" applyFill="1" applyAlignment="1">
      <alignment horizontal="left" wrapText="1"/>
    </xf>
    <xf numFmtId="42" fontId="42" fillId="0" borderId="0" xfId="0" applyNumberFormat="1" applyFont="1" applyFill="1" applyAlignment="1">
      <alignment horizontal="left" wrapText="1"/>
    </xf>
    <xf numFmtId="166" fontId="42" fillId="0" borderId="0" xfId="0" applyNumberFormat="1" applyFont="1" applyFill="1" applyAlignment="1">
      <alignment horizontal="left" wrapText="1"/>
    </xf>
    <xf numFmtId="164" fontId="42" fillId="0" borderId="0" xfId="0" applyFont="1" applyFill="1" applyBorder="1" applyAlignment="1">
      <alignment horizontal="left"/>
    </xf>
    <xf numFmtId="166" fontId="47" fillId="0" borderId="1" xfId="0" applyNumberFormat="1" applyFont="1" applyFill="1" applyBorder="1" applyAlignment="1"/>
    <xf numFmtId="166" fontId="47" fillId="0" borderId="0" xfId="0" applyNumberFormat="1" applyFont="1" applyFill="1" applyBorder="1" applyAlignment="1"/>
    <xf numFmtId="164" fontId="42" fillId="0" borderId="0" xfId="0" applyFont="1" applyFill="1" applyBorder="1" applyAlignment="1"/>
    <xf numFmtId="0" fontId="42" fillId="0" borderId="0" xfId="0" applyNumberFormat="1" applyFont="1" applyFill="1" applyBorder="1" applyAlignment="1"/>
    <xf numFmtId="164" fontId="42" fillId="0" borderId="0" xfId="0" applyNumberFormat="1" applyFont="1" applyFill="1" applyBorder="1" applyAlignment="1">
      <alignment horizontal="left"/>
    </xf>
    <xf numFmtId="43" fontId="42" fillId="0" borderId="0" xfId="0" applyNumberFormat="1" applyFont="1" applyFill="1" applyBorder="1" applyAlignment="1"/>
    <xf numFmtId="166" fontId="42" fillId="0" borderId="1" xfId="0" applyNumberFormat="1" applyFont="1" applyFill="1" applyBorder="1" applyAlignment="1"/>
    <xf numFmtId="166" fontId="42" fillId="0" borderId="0" xfId="0" applyNumberFormat="1" applyFont="1" applyFill="1" applyBorder="1" applyAlignment="1"/>
    <xf numFmtId="9" fontId="42" fillId="0" borderId="0" xfId="0" applyNumberFormat="1" applyFont="1" applyFill="1" applyBorder="1" applyAlignment="1">
      <alignment horizontal="center"/>
    </xf>
    <xf numFmtId="165" fontId="42" fillId="0" borderId="4" xfId="0" applyNumberFormat="1" applyFont="1" applyFill="1" applyBorder="1" applyAlignment="1"/>
    <xf numFmtId="165" fontId="0" fillId="0" borderId="0" xfId="0" applyNumberFormat="1" applyFont="1" applyFill="1" applyAlignment="1"/>
    <xf numFmtId="166" fontId="12" fillId="0" borderId="0" xfId="0" applyNumberFormat="1" applyFont="1" applyAlignment="1"/>
    <xf numFmtId="166" fontId="0" fillId="0" borderId="0" xfId="0" applyNumberFormat="1" applyFont="1" applyAlignment="1">
      <alignment horizontal="left" wrapText="1"/>
    </xf>
    <xf numFmtId="9" fontId="12" fillId="0" borderId="0" xfId="0" applyNumberFormat="1" applyFont="1" applyAlignment="1"/>
    <xf numFmtId="8" fontId="12" fillId="0" borderId="0" xfId="0" applyNumberFormat="1" applyFont="1" applyAlignment="1"/>
    <xf numFmtId="166" fontId="0" fillId="0" borderId="0" xfId="0" applyNumberFormat="1" applyFont="1" applyAlignment="1">
      <alignment horizontal="center"/>
    </xf>
    <xf numFmtId="166" fontId="0" fillId="9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6" fontId="13" fillId="0" borderId="0" xfId="0" applyNumberFormat="1" applyFont="1" applyAlignment="1"/>
    <xf numFmtId="0" fontId="7" fillId="0" borderId="0" xfId="0" applyNumberFormat="1" applyFont="1" applyAlignment="1"/>
    <xf numFmtId="166" fontId="0" fillId="0" borderId="0" xfId="0" applyNumberFormat="1" applyFont="1" applyAlignment="1"/>
    <xf numFmtId="166" fontId="0" fillId="0" borderId="0" xfId="0" applyNumberFormat="1" applyFont="1" applyAlignment="1">
      <alignment horizontal="center"/>
    </xf>
    <xf numFmtId="166" fontId="0" fillId="0" borderId="55" xfId="0" applyNumberFormat="1" applyFont="1" applyBorder="1" applyAlignment="1">
      <alignment horizontal="center"/>
    </xf>
    <xf numFmtId="166" fontId="0" fillId="0" borderId="55" xfId="0" applyNumberFormat="1" applyFont="1" applyBorder="1" applyAlignment="1">
      <alignment horizontal="center"/>
    </xf>
    <xf numFmtId="166" fontId="61" fillId="0" borderId="0" xfId="0" applyNumberFormat="1" applyFont="1" applyAlignment="1">
      <alignment horizontal="center"/>
    </xf>
    <xf numFmtId="43" fontId="73" fillId="4" borderId="39" xfId="0" applyNumberFormat="1" applyFont="1" applyFill="1" applyBorder="1" applyAlignment="1"/>
    <xf numFmtId="43" fontId="74" fillId="0" borderId="33" xfId="0" applyNumberFormat="1" applyFont="1" applyBorder="1" applyAlignment="1"/>
    <xf numFmtId="43" fontId="31" fillId="13" borderId="32" xfId="0" applyNumberFormat="1" applyFont="1" applyFill="1" applyBorder="1" applyAlignment="1">
      <alignment horizontal="left"/>
    </xf>
    <xf numFmtId="165" fontId="0" fillId="17" borderId="1" xfId="0" applyNumberFormat="1" applyFont="1" applyFill="1" applyBorder="1" applyAlignment="1"/>
    <xf numFmtId="165" fontId="0" fillId="3" borderId="19" xfId="0" applyNumberFormat="1" applyFont="1" applyFill="1" applyBorder="1" applyAlignment="1"/>
    <xf numFmtId="165" fontId="12" fillId="0" borderId="0" xfId="0" applyNumberFormat="1" applyFont="1" applyAlignment="1"/>
    <xf numFmtId="165" fontId="12" fillId="0" borderId="0" xfId="0" applyNumberFormat="1" applyFont="1" applyAlignment="1"/>
    <xf numFmtId="165" fontId="0" fillId="17" borderId="0" xfId="0" applyNumberFormat="1" applyFont="1" applyFill="1" applyAlignment="1"/>
    <xf numFmtId="165" fontId="12" fillId="0" borderId="0" xfId="0" applyNumberFormat="1" applyFont="1" applyFill="1" applyBorder="1" applyAlignment="1"/>
    <xf numFmtId="165" fontId="33" fillId="9" borderId="0" xfId="0" applyNumberFormat="1" applyFont="1" applyFill="1" applyAlignment="1">
      <alignment horizontal="right" vertical="top"/>
    </xf>
    <xf numFmtId="165" fontId="12" fillId="9" borderId="0" xfId="0" applyNumberFormat="1" applyFont="1" applyFill="1" applyBorder="1" applyAlignment="1"/>
    <xf numFmtId="167" fontId="80" fillId="0" borderId="0" xfId="0" applyNumberFormat="1" applyFont="1" applyFill="1" applyAlignment="1"/>
    <xf numFmtId="165" fontId="12" fillId="0" borderId="3" xfId="0" applyNumberFormat="1" applyFont="1" applyBorder="1" applyAlignment="1"/>
    <xf numFmtId="165" fontId="12" fillId="0" borderId="3" xfId="0" applyNumberFormat="1" applyFont="1" applyBorder="1" applyAlignment="1"/>
    <xf numFmtId="165" fontId="12" fillId="0" borderId="3" xfId="0" applyNumberFormat="1" applyFont="1" applyFill="1" applyBorder="1" applyAlignment="1"/>
    <xf numFmtId="168" fontId="80" fillId="0" borderId="0" xfId="0" applyNumberFormat="1" applyFont="1" applyFill="1" applyBorder="1" applyAlignment="1"/>
    <xf numFmtId="179" fontId="14" fillId="9" borderId="0" xfId="0" applyNumberFormat="1" applyFont="1" applyFill="1" applyBorder="1" applyAlignment="1"/>
    <xf numFmtId="166" fontId="14" fillId="9" borderId="0" xfId="0" applyNumberFormat="1" applyFont="1" applyFill="1" applyBorder="1" applyAlignment="1"/>
    <xf numFmtId="170" fontId="12" fillId="0" borderId="0" xfId="0" applyNumberFormat="1" applyFont="1" applyAlignment="1">
      <alignment horizontal="right"/>
    </xf>
    <xf numFmtId="1" fontId="43" fillId="0" borderId="58" xfId="0" applyNumberFormat="1" applyFont="1" applyBorder="1" applyAlignment="1">
      <alignment horizontal="center"/>
    </xf>
    <xf numFmtId="0" fontId="12" fillId="0" borderId="0" xfId="0" applyNumberFormat="1" applyFont="1" applyAlignment="1"/>
    <xf numFmtId="0" fontId="12" fillId="0" borderId="49" xfId="0" applyNumberFormat="1" applyFont="1" applyBorder="1" applyAlignment="1">
      <alignment horizontal="right"/>
    </xf>
    <xf numFmtId="166" fontId="12" fillId="0" borderId="0" xfId="0" applyNumberFormat="1" applyFont="1" applyAlignment="1"/>
    <xf numFmtId="0" fontId="85" fillId="0" borderId="0" xfId="0" applyNumberFormat="1" applyFont="1" applyAlignment="1"/>
    <xf numFmtId="0" fontId="85" fillId="0" borderId="0" xfId="0" applyNumberFormat="1" applyFont="1" applyAlignment="1">
      <alignment horizontal="right"/>
    </xf>
    <xf numFmtId="0" fontId="84" fillId="0" borderId="0" xfId="0" applyNumberFormat="1" applyFont="1" applyAlignment="1">
      <alignment horizontal="right"/>
    </xf>
    <xf numFmtId="42" fontId="51" fillId="0" borderId="0" xfId="0" applyNumberFormat="1" applyFont="1" applyAlignment="1"/>
    <xf numFmtId="0" fontId="96" fillId="0" borderId="0" xfId="0" applyNumberFormat="1" applyFont="1" applyFill="1" applyAlignment="1">
      <alignment horizontal="right"/>
    </xf>
    <xf numFmtId="42" fontId="7" fillId="0" borderId="4" xfId="0" applyNumberFormat="1" applyFont="1" applyBorder="1" applyAlignment="1"/>
    <xf numFmtId="0" fontId="97" fillId="0" borderId="0" xfId="0" applyNumberFormat="1" applyFont="1" applyFill="1" applyAlignment="1"/>
    <xf numFmtId="42" fontId="7" fillId="0" borderId="1" xfId="0" applyNumberFormat="1" applyFont="1" applyBorder="1" applyAlignment="1"/>
    <xf numFmtId="41" fontId="7" fillId="0" borderId="0" xfId="0" applyNumberFormat="1" applyFont="1" applyAlignment="1"/>
    <xf numFmtId="0" fontId="97" fillId="0" borderId="0" xfId="0" applyNumberFormat="1" applyFont="1" applyAlignment="1"/>
    <xf numFmtId="42" fontId="7" fillId="0" borderId="0" xfId="0" applyNumberFormat="1" applyFont="1" applyAlignment="1"/>
    <xf numFmtId="166" fontId="33" fillId="0" borderId="0" xfId="0" applyNumberFormat="1" applyFont="1" applyFill="1" applyAlignment="1">
      <alignment horizontal="left" wrapText="1"/>
    </xf>
    <xf numFmtId="164" fontId="75" fillId="0" borderId="0" xfId="0" applyFont="1" applyAlignment="1"/>
    <xf numFmtId="0" fontId="0" fillId="0" borderId="0" xfId="0" applyNumberFormat="1" applyBorder="1">
      <alignment horizontal="left" wrapText="1"/>
    </xf>
    <xf numFmtId="164" fontId="98" fillId="4" borderId="55" xfId="0" quotePrefix="1" applyFont="1" applyFill="1" applyBorder="1" applyAlignment="1" applyProtection="1">
      <alignment horizontal="center"/>
      <protection locked="0"/>
    </xf>
    <xf numFmtId="164" fontId="99" fillId="4" borderId="0" xfId="0" applyFont="1" applyFill="1" applyAlignment="1"/>
    <xf numFmtId="164" fontId="100" fillId="4" borderId="0" xfId="0" applyFont="1" applyFill="1" applyAlignment="1">
      <alignment horizontal="left"/>
    </xf>
    <xf numFmtId="0" fontId="99" fillId="4" borderId="0" xfId="0" applyNumberFormat="1" applyFont="1" applyFill="1" applyBorder="1" applyAlignment="1">
      <alignment horizontal="left"/>
    </xf>
    <xf numFmtId="181" fontId="101" fillId="4" borderId="0" xfId="0" applyNumberFormat="1" applyFont="1" applyFill="1" applyBorder="1" applyAlignment="1">
      <alignment horizontal="left"/>
    </xf>
    <xf numFmtId="41" fontId="101" fillId="0" borderId="0" xfId="0" applyNumberFormat="1" applyFont="1" applyFill="1" applyAlignment="1">
      <alignment horizontal="right"/>
    </xf>
    <xf numFmtId="181" fontId="101" fillId="4" borderId="0" xfId="0" applyNumberFormat="1" applyFont="1" applyFill="1" applyBorder="1" applyAlignment="1"/>
    <xf numFmtId="164" fontId="86" fillId="0" borderId="0" xfId="0" applyFont="1" applyAlignment="1">
      <alignment horizontal="left"/>
    </xf>
    <xf numFmtId="164" fontId="0" fillId="0" borderId="0" xfId="0" applyFont="1" applyAlignment="1">
      <alignment horizontal="centerContinuous"/>
    </xf>
    <xf numFmtId="0" fontId="86" fillId="0" borderId="0" xfId="0" applyNumberFormat="1" applyFont="1" applyAlignment="1">
      <alignment horizontal="center"/>
    </xf>
    <xf numFmtId="164" fontId="34" fillId="0" borderId="0" xfId="0" applyFont="1" applyAlignment="1"/>
    <xf numFmtId="164" fontId="87" fillId="0" borderId="0" xfId="0" applyFont="1" applyFill="1" applyAlignment="1">
      <alignment horizontal="left"/>
    </xf>
    <xf numFmtId="164" fontId="0" fillId="0" borderId="0" xfId="0" applyFont="1" applyFill="1" applyAlignment="1">
      <alignment horizontal="centerContinuous"/>
    </xf>
    <xf numFmtId="0" fontId="75" fillId="0" borderId="0" xfId="0" applyNumberFormat="1" applyFont="1" applyBorder="1" applyAlignment="1">
      <alignment horizontal="center"/>
    </xf>
    <xf numFmtId="0" fontId="89" fillId="0" borderId="51" xfId="0" applyNumberFormat="1" applyFont="1" applyBorder="1" applyAlignment="1">
      <alignment horizontal="left"/>
    </xf>
    <xf numFmtId="0" fontId="89" fillId="0" borderId="52" xfId="0" applyNumberFormat="1" applyFont="1" applyBorder="1" applyAlignment="1">
      <alignment horizontal="center"/>
    </xf>
    <xf numFmtId="164" fontId="37" fillId="0" borderId="51" xfId="0" applyFont="1" applyFill="1" applyBorder="1" applyAlignment="1">
      <alignment horizontal="center" wrapText="1"/>
    </xf>
    <xf numFmtId="164" fontId="29" fillId="0" borderId="44" xfId="0" applyFont="1" applyFill="1" applyBorder="1" applyAlignment="1">
      <alignment horizontal="center" wrapText="1"/>
    </xf>
    <xf numFmtId="164" fontId="29" fillId="0" borderId="57" xfId="0" applyFont="1" applyFill="1" applyBorder="1" applyAlignment="1">
      <alignment horizontal="center" wrapText="1"/>
    </xf>
    <xf numFmtId="0" fontId="90" fillId="0" borderId="33" xfId="0" applyNumberFormat="1" applyFont="1" applyFill="1" applyBorder="1" applyAlignment="1">
      <alignment horizontal="left"/>
    </xf>
    <xf numFmtId="0" fontId="91" fillId="0" borderId="52" xfId="0" applyNumberFormat="1" applyFont="1" applyFill="1" applyBorder="1" applyAlignment="1"/>
    <xf numFmtId="42" fontId="88" fillId="0" borderId="33" xfId="0" applyNumberFormat="1" applyFont="1" applyBorder="1" applyAlignment="1"/>
    <xf numFmtId="42" fontId="75" fillId="0" borderId="7" xfId="0" applyNumberFormat="1" applyFont="1" applyBorder="1" applyAlignment="1"/>
    <xf numFmtId="42" fontId="75" fillId="0" borderId="8" xfId="0" applyNumberFormat="1" applyFont="1" applyBorder="1" applyAlignment="1"/>
    <xf numFmtId="0" fontId="91" fillId="0" borderId="0" xfId="0" applyNumberFormat="1" applyFont="1" applyFill="1" applyBorder="1" applyAlignment="1"/>
    <xf numFmtId="164" fontId="89" fillId="0" borderId="33" xfId="0" applyFont="1" applyFill="1" applyBorder="1" applyAlignment="1">
      <alignment horizontal="left"/>
    </xf>
    <xf numFmtId="0" fontId="92" fillId="0" borderId="50" xfId="0" applyNumberFormat="1" applyFont="1" applyFill="1" applyBorder="1" applyAlignment="1"/>
    <xf numFmtId="42" fontId="37" fillId="0" borderId="66" xfId="0" applyNumberFormat="1" applyFont="1" applyBorder="1" applyAlignment="1"/>
    <xf numFmtId="42" fontId="21" fillId="0" borderId="56" xfId="0" applyNumberFormat="1" applyFont="1" applyBorder="1" applyAlignment="1"/>
    <xf numFmtId="42" fontId="68" fillId="0" borderId="54" xfId="0" applyNumberFormat="1" applyFont="1" applyBorder="1" applyAlignment="1"/>
    <xf numFmtId="166" fontId="36" fillId="0" borderId="33" xfId="0" applyNumberFormat="1" applyFont="1" applyBorder="1" applyAlignment="1"/>
    <xf numFmtId="166" fontId="0" fillId="0" borderId="7" xfId="0" applyNumberFormat="1" applyFont="1" applyBorder="1" applyAlignment="1"/>
    <xf numFmtId="166" fontId="72" fillId="0" borderId="8" xfId="0" applyNumberFormat="1" applyFont="1" applyBorder="1" applyAlignment="1"/>
    <xf numFmtId="164" fontId="89" fillId="0" borderId="34" xfId="0" applyFont="1" applyFill="1" applyBorder="1" applyAlignment="1">
      <alignment horizontal="left"/>
    </xf>
    <xf numFmtId="0" fontId="91" fillId="0" borderId="55" xfId="0" applyNumberFormat="1" applyFont="1" applyFill="1" applyBorder="1" applyAlignment="1">
      <alignment horizontal="left"/>
    </xf>
    <xf numFmtId="166" fontId="75" fillId="0" borderId="44" xfId="0" applyNumberFormat="1" applyFont="1" applyBorder="1" applyAlignment="1"/>
    <xf numFmtId="166" fontId="75" fillId="0" borderId="57" xfId="0" applyNumberFormat="1" applyFont="1" applyFill="1" applyBorder="1" applyAlignment="1"/>
    <xf numFmtId="180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72" fillId="0" borderId="0" xfId="0" applyNumberFormat="1" applyFont="1" applyFill="1" applyBorder="1" applyAlignment="1"/>
    <xf numFmtId="164" fontId="0" fillId="0" borderId="0" xfId="0" applyFont="1" applyBorder="1" applyAlignment="1"/>
    <xf numFmtId="0" fontId="74" fillId="0" borderId="0" xfId="0" applyNumberFormat="1" applyFont="1" applyFill="1" applyBorder="1" applyAlignment="1"/>
    <xf numFmtId="0" fontId="72" fillId="0" borderId="0" xfId="0" applyNumberFormat="1" applyFont="1" applyFill="1" applyBorder="1" applyAlignment="1">
      <alignment horizontal="left"/>
    </xf>
    <xf numFmtId="42" fontId="74" fillId="0" borderId="0" xfId="0" applyNumberFormat="1" applyFont="1" applyFill="1" applyBorder="1" applyAlignment="1"/>
    <xf numFmtId="0" fontId="73" fillId="0" borderId="0" xfId="0" applyNumberFormat="1" applyFont="1" applyFill="1" applyBorder="1" applyAlignment="1"/>
    <xf numFmtId="1" fontId="89" fillId="0" borderId="33" xfId="0" applyNumberFormat="1" applyFont="1" applyFill="1" applyBorder="1" applyAlignment="1">
      <alignment horizontal="left"/>
    </xf>
    <xf numFmtId="166" fontId="0" fillId="0" borderId="0" xfId="0" applyNumberFormat="1" applyFont="1" applyAlignment="1">
      <alignment horizontal="left" wrapText="1"/>
    </xf>
    <xf numFmtId="1" fontId="43" fillId="0" borderId="59" xfId="0" applyNumberFormat="1" applyFont="1" applyBorder="1" applyAlignment="1">
      <alignment horizontal="center"/>
    </xf>
    <xf numFmtId="44" fontId="74" fillId="0" borderId="0" xfId="0" applyNumberFormat="1" applyFont="1" applyFill="1" applyBorder="1" applyAlignment="1"/>
    <xf numFmtId="0" fontId="12" fillId="0" borderId="0" xfId="0" applyNumberFormat="1" applyFont="1" applyAlignment="1">
      <alignment wrapText="1"/>
    </xf>
    <xf numFmtId="164" fontId="12" fillId="0" borderId="0" xfId="0" applyFont="1" applyAlignment="1">
      <alignment wrapText="1"/>
    </xf>
    <xf numFmtId="0" fontId="6" fillId="0" borderId="0" xfId="0" applyNumberFormat="1" applyFont="1" applyAlignment="1"/>
    <xf numFmtId="165" fontId="6" fillId="0" borderId="0" xfId="0" applyNumberFormat="1" applyFont="1" applyAlignment="1"/>
    <xf numFmtId="44" fontId="6" fillId="0" borderId="0" xfId="0" applyNumberFormat="1" applyFont="1" applyAlignment="1"/>
    <xf numFmtId="5" fontId="6" fillId="7" borderId="19" xfId="0" applyNumberFormat="1" applyFont="1" applyFill="1" applyBorder="1" applyAlignment="1"/>
    <xf numFmtId="5" fontId="6" fillId="7" borderId="0" xfId="0" applyNumberFormat="1" applyFont="1" applyFill="1" applyBorder="1" applyAlignment="1"/>
    <xf numFmtId="5" fontId="6" fillId="7" borderId="4" xfId="0" applyNumberFormat="1" applyFont="1" applyFill="1" applyBorder="1" applyAlignment="1"/>
    <xf numFmtId="5" fontId="6" fillId="7" borderId="0" xfId="0" applyNumberFormat="1" applyFont="1" applyFill="1" applyAlignment="1"/>
    <xf numFmtId="0" fontId="6" fillId="7" borderId="0" xfId="0" applyNumberFormat="1" applyFont="1" applyFill="1" applyAlignment="1"/>
    <xf numFmtId="5" fontId="6" fillId="8" borderId="18" xfId="0" applyNumberFormat="1" applyFont="1" applyFill="1" applyBorder="1" applyAlignment="1"/>
    <xf numFmtId="5" fontId="6" fillId="8" borderId="17" xfId="0" applyNumberFormat="1" applyFont="1" applyFill="1" applyBorder="1" applyAlignment="1"/>
    <xf numFmtId="5" fontId="6" fillId="8" borderId="16" xfId="0" applyNumberFormat="1" applyFont="1" applyFill="1" applyBorder="1" applyAlignment="1"/>
    <xf numFmtId="37" fontId="6" fillId="8" borderId="16" xfId="0" applyNumberFormat="1" applyFont="1" applyFill="1" applyBorder="1" applyAlignment="1"/>
    <xf numFmtId="37" fontId="6" fillId="8" borderId="9" xfId="0" applyNumberFormat="1" applyFont="1" applyFill="1" applyBorder="1" applyAlignment="1"/>
    <xf numFmtId="0" fontId="6" fillId="8" borderId="0" xfId="0" applyNumberFormat="1" applyFont="1" applyFill="1" applyBorder="1" applyAlignment="1"/>
    <xf numFmtId="0" fontId="6" fillId="8" borderId="8" xfId="0" applyNumberFormat="1" applyFont="1" applyFill="1" applyBorder="1" applyAlignment="1"/>
    <xf numFmtId="0" fontId="6" fillId="8" borderId="10" xfId="0" applyNumberFormat="1" applyFont="1" applyFill="1" applyBorder="1" applyAlignment="1"/>
    <xf numFmtId="0" fontId="6" fillId="8" borderId="7" xfId="0" applyNumberFormat="1" applyFont="1" applyFill="1" applyBorder="1" applyAlignment="1"/>
    <xf numFmtId="37" fontId="6" fillId="8" borderId="7" xfId="0" applyNumberFormat="1" applyFont="1" applyFill="1" applyBorder="1" applyAlignment="1"/>
    <xf numFmtId="5" fontId="6" fillId="8" borderId="9" xfId="0" applyNumberFormat="1" applyFont="1" applyFill="1" applyBorder="1" applyAlignment="1"/>
    <xf numFmtId="5" fontId="6" fillId="8" borderId="0" xfId="0" applyNumberFormat="1" applyFont="1" applyFill="1" applyBorder="1" applyAlignment="1"/>
    <xf numFmtId="5" fontId="6" fillId="8" borderId="8" xfId="0" applyNumberFormat="1" applyFont="1" applyFill="1" applyBorder="1" applyAlignment="1"/>
    <xf numFmtId="5" fontId="6" fillId="8" borderId="7" xfId="0" applyNumberFormat="1" applyFont="1" applyFill="1" applyBorder="1" applyAlignment="1"/>
    <xf numFmtId="37" fontId="6" fillId="8" borderId="14" xfId="0" applyNumberFormat="1" applyFont="1" applyFill="1" applyBorder="1" applyAlignment="1"/>
    <xf numFmtId="0" fontId="6" fillId="8" borderId="1" xfId="0" applyNumberFormat="1" applyFont="1" applyFill="1" applyBorder="1" applyAlignment="1"/>
    <xf numFmtId="0" fontId="6" fillId="8" borderId="53" xfId="0" applyNumberFormat="1" applyFont="1" applyFill="1" applyBorder="1" applyAlignment="1"/>
    <xf numFmtId="0" fontId="6" fillId="8" borderId="13" xfId="0" applyNumberFormat="1" applyFont="1" applyFill="1" applyBorder="1" applyAlignment="1"/>
    <xf numFmtId="37" fontId="6" fillId="8" borderId="13" xfId="0" applyNumberFormat="1" applyFont="1" applyFill="1" applyBorder="1" applyAlignment="1"/>
    <xf numFmtId="0" fontId="21" fillId="8" borderId="67" xfId="0" applyNumberFormat="1" applyFont="1" applyFill="1" applyBorder="1" applyAlignment="1">
      <alignment horizontal="center" wrapText="1"/>
    </xf>
    <xf numFmtId="0" fontId="21" fillId="8" borderId="68" xfId="0" applyNumberFormat="1" applyFont="1" applyFill="1" applyBorder="1" applyAlignment="1">
      <alignment horizontal="center"/>
    </xf>
    <xf numFmtId="0" fontId="21" fillId="8" borderId="69" xfId="0" applyNumberFormat="1" applyFont="1" applyFill="1" applyBorder="1" applyAlignment="1">
      <alignment horizontal="center"/>
    </xf>
    <xf numFmtId="0" fontId="21" fillId="8" borderId="70" xfId="0" applyNumberFormat="1" applyFont="1" applyFill="1" applyBorder="1" applyAlignment="1">
      <alignment horizontal="center"/>
    </xf>
    <xf numFmtId="0" fontId="6" fillId="8" borderId="71" xfId="0" applyNumberFormat="1" applyFont="1" applyFill="1" applyBorder="1" applyAlignment="1"/>
    <xf numFmtId="17" fontId="6" fillId="0" borderId="0" xfId="0" applyNumberFormat="1" applyFont="1" applyAlignment="1"/>
    <xf numFmtId="0" fontId="6" fillId="7" borderId="0" xfId="0" applyNumberFormat="1" applyFont="1" applyFill="1" applyAlignment="1">
      <alignment horizontal="center"/>
    </xf>
    <xf numFmtId="43" fontId="6" fillId="0" borderId="0" xfId="0" applyNumberFormat="1" applyFont="1" applyAlignment="1"/>
    <xf numFmtId="165" fontId="6" fillId="0" borderId="4" xfId="0" applyNumberFormat="1" applyFont="1" applyBorder="1" applyAlignment="1"/>
    <xf numFmtId="7" fontId="6" fillId="0" borderId="0" xfId="0" applyNumberFormat="1" applyFont="1" applyAlignment="1"/>
    <xf numFmtId="166" fontId="6" fillId="0" borderId="0" xfId="0" applyNumberFormat="1" applyFont="1" applyBorder="1" applyAlignment="1"/>
    <xf numFmtId="5" fontId="6" fillId="0" borderId="4" xfId="0" applyNumberFormat="1" applyFont="1" applyBorder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164" fontId="6" fillId="0" borderId="0" xfId="0" applyNumberFormat="1" applyFont="1" applyAlignment="1"/>
    <xf numFmtId="37" fontId="6" fillId="0" borderId="11" xfId="0" applyNumberFormat="1" applyFont="1" applyBorder="1" applyAlignment="1"/>
    <xf numFmtId="37" fontId="6" fillId="0" borderId="55" xfId="0" applyNumberFormat="1" applyFont="1" applyBorder="1" applyAlignment="1"/>
    <xf numFmtId="37" fontId="6" fillId="0" borderId="34" xfId="0" applyNumberFormat="1" applyFont="1" applyBorder="1" applyAlignment="1"/>
    <xf numFmtId="0" fontId="6" fillId="0" borderId="0" xfId="0" applyNumberFormat="1" applyFont="1" applyAlignment="1"/>
    <xf numFmtId="37" fontId="6" fillId="0" borderId="8" xfId="0" applyNumberFormat="1" applyFont="1" applyBorder="1" applyAlignment="1"/>
    <xf numFmtId="37" fontId="6" fillId="0" borderId="0" xfId="0" applyNumberFormat="1" applyFont="1" applyBorder="1" applyAlignment="1"/>
    <xf numFmtId="37" fontId="6" fillId="0" borderId="33" xfId="0" applyNumberFormat="1" applyFont="1" applyBorder="1" applyAlignment="1"/>
    <xf numFmtId="37" fontId="6" fillId="0" borderId="53" xfId="0" applyNumberFormat="1" applyFont="1" applyBorder="1" applyAlignment="1"/>
    <xf numFmtId="37" fontId="6" fillId="0" borderId="1" xfId="0" applyNumberFormat="1" applyFont="1" applyBorder="1" applyAlignment="1"/>
    <xf numFmtId="37" fontId="6" fillId="0" borderId="32" xfId="0" applyNumberFormat="1" applyFont="1" applyBorder="1" applyAlignment="1"/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21" fillId="0" borderId="0" xfId="0" applyNumberFormat="1" applyFont="1" applyBorder="1" applyAlignment="1"/>
    <xf numFmtId="0" fontId="6" fillId="0" borderId="0" xfId="0" applyNumberFormat="1" applyFont="1" applyBorder="1" applyAlignment="1"/>
    <xf numFmtId="43" fontId="6" fillId="0" borderId="0" xfId="0" applyNumberFormat="1" applyFont="1" applyBorder="1" applyAlignment="1"/>
    <xf numFmtId="175" fontId="6" fillId="0" borderId="0" xfId="0" applyNumberFormat="1" applyFont="1" applyAlignment="1"/>
    <xf numFmtId="3" fontId="6" fillId="0" borderId="0" xfId="0" applyNumberFormat="1" applyFont="1" applyAlignment="1"/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55" xfId="0" applyNumberFormat="1" applyFont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/>
    <xf numFmtId="0" fontId="61" fillId="0" borderId="0" xfId="0" applyNumberFormat="1" applyFont="1" applyAlignment="1">
      <alignment horizontal="center"/>
    </xf>
    <xf numFmtId="0" fontId="13" fillId="12" borderId="19" xfId="0" applyNumberFormat="1" applyFont="1" applyFill="1" applyBorder="1" applyAlignment="1">
      <alignment horizontal="center"/>
    </xf>
    <xf numFmtId="0" fontId="6" fillId="5" borderId="0" xfId="0" applyNumberFormat="1" applyFont="1" applyFill="1" applyAlignment="1"/>
    <xf numFmtId="0" fontId="13" fillId="5" borderId="0" xfId="0" applyNumberFormat="1" applyFont="1" applyFill="1" applyAlignment="1"/>
    <xf numFmtId="0" fontId="13" fillId="0" borderId="0" xfId="0" applyNumberFormat="1" applyFont="1" applyAlignment="1"/>
    <xf numFmtId="0" fontId="20" fillId="0" borderId="0" xfId="0" applyNumberFormat="1" applyFont="1" applyAlignment="1"/>
    <xf numFmtId="0" fontId="71" fillId="0" borderId="0" xfId="0" applyNumberFormat="1" applyFont="1" applyAlignment="1"/>
    <xf numFmtId="164" fontId="6" fillId="0" borderId="55" xfId="0" applyNumberFormat="1" applyFont="1" applyBorder="1" applyAlignment="1">
      <alignment horizontal="center"/>
    </xf>
    <xf numFmtId="6" fontId="6" fillId="0" borderId="0" xfId="0" applyNumberFormat="1" applyFont="1" applyAlignment="1"/>
    <xf numFmtId="44" fontId="6" fillId="0" borderId="0" xfId="0" applyNumberFormat="1" applyFont="1" applyAlignment="1"/>
    <xf numFmtId="44" fontId="6" fillId="0" borderId="11" xfId="0" applyNumberFormat="1" applyFont="1" applyBorder="1" applyAlignment="1"/>
    <xf numFmtId="44" fontId="6" fillId="0" borderId="55" xfId="0" applyNumberFormat="1" applyFont="1" applyBorder="1" applyAlignment="1"/>
    <xf numFmtId="0" fontId="6" fillId="0" borderId="55" xfId="0" applyNumberFormat="1" applyFont="1" applyBorder="1" applyAlignment="1"/>
    <xf numFmtId="0" fontId="6" fillId="0" borderId="34" xfId="0" applyNumberFormat="1" applyFont="1" applyBorder="1" applyAlignment="1"/>
    <xf numFmtId="0" fontId="6" fillId="0" borderId="0" xfId="0" applyNumberFormat="1" applyFont="1" applyBorder="1" applyAlignment="1"/>
    <xf numFmtId="0" fontId="6" fillId="0" borderId="33" xfId="0" applyNumberFormat="1" applyFont="1" applyBorder="1" applyAlignment="1"/>
    <xf numFmtId="0" fontId="6" fillId="0" borderId="0" xfId="0" applyNumberFormat="1" applyFont="1" applyFill="1" applyAlignment="1"/>
    <xf numFmtId="0" fontId="6" fillId="13" borderId="53" xfId="0" applyNumberFormat="1" applyFont="1" applyFill="1" applyBorder="1" applyAlignment="1"/>
    <xf numFmtId="0" fontId="6" fillId="13" borderId="1" xfId="0" applyNumberFormat="1" applyFont="1" applyFill="1" applyBorder="1" applyAlignment="1"/>
    <xf numFmtId="176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/>
    <xf numFmtId="0" fontId="6" fillId="0" borderId="8" xfId="0" applyNumberFormat="1" applyFont="1" applyBorder="1" applyAlignment="1"/>
    <xf numFmtId="0" fontId="6" fillId="0" borderId="33" xfId="0" applyNumberFormat="1" applyFont="1" applyFill="1" applyBorder="1" applyAlignment="1">
      <alignment horizontal="center"/>
    </xf>
    <xf numFmtId="173" fontId="6" fillId="0" borderId="55" xfId="0" applyNumberFormat="1" applyFont="1" applyBorder="1" applyAlignment="1">
      <alignment horizontal="center" vertical="center"/>
    </xf>
    <xf numFmtId="173" fontId="6" fillId="9" borderId="55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8" fontId="6" fillId="0" borderId="0" xfId="0" applyNumberFormat="1" applyFont="1" applyAlignment="1"/>
    <xf numFmtId="177" fontId="6" fillId="0" borderId="0" xfId="0" applyNumberFormat="1" applyFont="1" applyAlignment="1"/>
    <xf numFmtId="5" fontId="6" fillId="13" borderId="0" xfId="0" applyNumberFormat="1" applyFont="1" applyFill="1" applyAlignment="1"/>
    <xf numFmtId="5" fontId="6" fillId="13" borderId="43" xfId="0" applyNumberFormat="1" applyFont="1" applyFill="1" applyBorder="1" applyAlignment="1"/>
    <xf numFmtId="5" fontId="6" fillId="13" borderId="42" xfId="0" applyNumberFormat="1" applyFont="1" applyFill="1" applyBorder="1" applyAlignment="1"/>
    <xf numFmtId="164" fontId="6" fillId="13" borderId="15" xfId="0" applyFont="1" applyFill="1" applyBorder="1" applyAlignment="1"/>
    <xf numFmtId="5" fontId="6" fillId="13" borderId="41" xfId="0" applyNumberFormat="1" applyFont="1" applyFill="1" applyBorder="1" applyAlignment="1"/>
    <xf numFmtId="5" fontId="6" fillId="13" borderId="0" xfId="0" applyNumberFormat="1" applyFont="1" applyFill="1" applyBorder="1" applyAlignment="1"/>
    <xf numFmtId="164" fontId="6" fillId="13" borderId="6" xfId="0" applyFont="1" applyFill="1" applyBorder="1" applyAlignment="1"/>
    <xf numFmtId="164" fontId="6" fillId="13" borderId="0" xfId="0" applyFont="1" applyFill="1" applyBorder="1" applyAlignment="1"/>
    <xf numFmtId="9" fontId="6" fillId="13" borderId="11" xfId="0" applyNumberFormat="1" applyFont="1" applyFill="1" applyBorder="1" applyAlignment="1">
      <alignment horizontal="center"/>
    </xf>
    <xf numFmtId="9" fontId="6" fillId="13" borderId="34" xfId="0" applyNumberFormat="1" applyFont="1" applyFill="1" applyBorder="1" applyAlignment="1">
      <alignment horizontal="center"/>
    </xf>
    <xf numFmtId="5" fontId="6" fillId="13" borderId="10" xfId="0" applyNumberFormat="1" applyFont="1" applyFill="1" applyBorder="1" applyAlignment="1"/>
    <xf numFmtId="9" fontId="6" fillId="13" borderId="8" xfId="0" applyNumberFormat="1" applyFont="1" applyFill="1" applyBorder="1" applyAlignment="1">
      <alignment horizontal="center"/>
    </xf>
    <xf numFmtId="9" fontId="6" fillId="13" borderId="33" xfId="0" applyNumberFormat="1" applyFont="1" applyFill="1" applyBorder="1" applyAlignment="1">
      <alignment horizontal="center"/>
    </xf>
    <xf numFmtId="5" fontId="6" fillId="13" borderId="7" xfId="0" applyNumberFormat="1" applyFont="1" applyFill="1" applyBorder="1" applyAlignment="1"/>
    <xf numFmtId="9" fontId="6" fillId="13" borderId="53" xfId="0" applyNumberFormat="1" applyFont="1" applyFill="1" applyBorder="1" applyAlignment="1">
      <alignment horizontal="center"/>
    </xf>
    <xf numFmtId="9" fontId="6" fillId="13" borderId="32" xfId="0" applyNumberFormat="1" applyFont="1" applyFill="1" applyBorder="1" applyAlignment="1">
      <alignment horizontal="center"/>
    </xf>
    <xf numFmtId="5" fontId="6" fillId="13" borderId="13" xfId="0" applyNumberFormat="1" applyFont="1" applyFill="1" applyBorder="1" applyAlignment="1"/>
    <xf numFmtId="5" fontId="6" fillId="13" borderId="11" xfId="0" applyNumberFormat="1" applyFont="1" applyFill="1" applyBorder="1" applyAlignment="1">
      <alignment horizontal="center"/>
    </xf>
    <xf numFmtId="5" fontId="6" fillId="13" borderId="34" xfId="0" applyNumberFormat="1" applyFont="1" applyFill="1" applyBorder="1" applyAlignment="1">
      <alignment horizontal="center"/>
    </xf>
    <xf numFmtId="5" fontId="6" fillId="13" borderId="10" xfId="0" applyNumberFormat="1" applyFont="1" applyFill="1" applyBorder="1" applyAlignment="1">
      <alignment horizontal="center"/>
    </xf>
    <xf numFmtId="5" fontId="6" fillId="13" borderId="53" xfId="0" applyNumberFormat="1" applyFont="1" applyFill="1" applyBorder="1" applyAlignment="1">
      <alignment horizontal="centerContinuous"/>
    </xf>
    <xf numFmtId="5" fontId="6" fillId="13" borderId="32" xfId="0" applyNumberFormat="1" applyFont="1" applyFill="1" applyBorder="1" applyAlignment="1">
      <alignment horizontal="centerContinuous"/>
    </xf>
    <xf numFmtId="5" fontId="6" fillId="13" borderId="13" xfId="0" applyNumberFormat="1" applyFont="1" applyFill="1" applyBorder="1" applyAlignment="1">
      <alignment horizontal="center"/>
    </xf>
    <xf numFmtId="5" fontId="6" fillId="13" borderId="72" xfId="0" applyNumberFormat="1" applyFont="1" applyFill="1" applyBorder="1" applyAlignment="1"/>
    <xf numFmtId="5" fontId="6" fillId="13" borderId="68" xfId="0" applyNumberFormat="1" applyFont="1" applyFill="1" applyBorder="1" applyAlignment="1"/>
    <xf numFmtId="0" fontId="0" fillId="13" borderId="68" xfId="0" applyNumberFormat="1" applyFill="1" applyBorder="1" applyAlignment="1"/>
    <xf numFmtId="164" fontId="6" fillId="13" borderId="71" xfId="0" applyFont="1" applyFill="1" applyBorder="1" applyAlignment="1"/>
    <xf numFmtId="164" fontId="6" fillId="13" borderId="0" xfId="0" applyFont="1" applyFill="1" applyAlignment="1"/>
    <xf numFmtId="5" fontId="6" fillId="13" borderId="55" xfId="0" applyNumberFormat="1" applyFont="1" applyFill="1" applyBorder="1" applyAlignment="1"/>
    <xf numFmtId="164" fontId="6" fillId="13" borderId="34" xfId="0" applyFont="1" applyFill="1" applyBorder="1" applyAlignment="1"/>
    <xf numFmtId="164" fontId="6" fillId="13" borderId="33" xfId="0" applyFont="1" applyFill="1" applyBorder="1" applyAlignment="1"/>
    <xf numFmtId="5" fontId="6" fillId="13" borderId="1" xfId="0" applyNumberFormat="1" applyFont="1" applyFill="1" applyBorder="1" applyAlignment="1"/>
    <xf numFmtId="164" fontId="6" fillId="13" borderId="32" xfId="0" applyFont="1" applyFill="1" applyBorder="1" applyAlignment="1"/>
    <xf numFmtId="164" fontId="0" fillId="0" borderId="0" xfId="0" quotePrefix="1" applyAlignment="1">
      <alignment horizontal="right" wrapText="1" indent="1"/>
    </xf>
    <xf numFmtId="166" fontId="80" fillId="0" borderId="67" xfId="0" applyNumberFormat="1" applyFont="1" applyFill="1" applyBorder="1" applyAlignment="1">
      <alignment vertical="center" wrapText="1"/>
    </xf>
    <xf numFmtId="0" fontId="103" fillId="0" borderId="0" xfId="0" applyNumberFormat="1" applyFont="1" applyAlignment="1">
      <alignment horizontal="right"/>
    </xf>
    <xf numFmtId="0" fontId="83" fillId="0" borderId="0" xfId="0" applyNumberFormat="1" applyFont="1" applyAlignment="1">
      <alignment horizontal="right"/>
    </xf>
    <xf numFmtId="5" fontId="83" fillId="0" borderId="0" xfId="0" applyNumberFormat="1" applyFont="1" applyAlignment="1"/>
    <xf numFmtId="7" fontId="83" fillId="0" borderId="0" xfId="0" applyNumberFormat="1" applyFont="1" applyAlignment="1"/>
    <xf numFmtId="0" fontId="5" fillId="0" borderId="0" xfId="0" applyNumberFormat="1" applyFont="1" applyAlignment="1"/>
    <xf numFmtId="0" fontId="38" fillId="20" borderId="47" xfId="0" applyNumberFormat="1" applyFont="1" applyFill="1" applyBorder="1" applyAlignment="1">
      <alignment horizontal="center"/>
    </xf>
    <xf numFmtId="0" fontId="38" fillId="21" borderId="47" xfId="0" applyNumberFormat="1" applyFont="1" applyFill="1" applyBorder="1" applyAlignment="1">
      <alignment horizontal="left"/>
    </xf>
    <xf numFmtId="166" fontId="0" fillId="0" borderId="0" xfId="0" applyNumberFormat="1" applyFont="1" applyAlignment="1"/>
    <xf numFmtId="166" fontId="0" fillId="0" borderId="1" xfId="0" applyNumberFormat="1" applyFont="1" applyBorder="1" applyAlignment="1"/>
    <xf numFmtId="0" fontId="20" fillId="0" borderId="0" xfId="0" applyNumberFormat="1" applyFont="1" applyAlignment="1">
      <alignment horizontal="right"/>
    </xf>
    <xf numFmtId="166" fontId="20" fillId="0" borderId="0" xfId="0" applyNumberFormat="1" applyFont="1" applyAlignment="1"/>
    <xf numFmtId="166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38" fillId="3" borderId="47" xfId="0" applyNumberFormat="1" applyFont="1" applyFill="1" applyBorder="1" applyAlignment="1">
      <alignment horizontal="center"/>
    </xf>
    <xf numFmtId="9" fontId="0" fillId="0" borderId="0" xfId="0" applyNumberFormat="1" applyFont="1" applyAlignment="1"/>
    <xf numFmtId="166" fontId="24" fillId="0" borderId="9" xfId="0" applyNumberFormat="1" applyFont="1" applyFill="1" applyBorder="1" applyAlignment="1">
      <alignment vertical="center" wrapText="1"/>
    </xf>
    <xf numFmtId="5" fontId="102" fillId="0" borderId="0" xfId="0" applyNumberFormat="1" applyFont="1" applyAlignment="1">
      <alignment horizontal="center"/>
    </xf>
    <xf numFmtId="17" fontId="9" fillId="0" borderId="0" xfId="0" applyNumberFormat="1" applyFont="1" applyFill="1" applyAlignment="1"/>
    <xf numFmtId="10" fontId="40" fillId="0" borderId="0" xfId="0" applyNumberFormat="1" applyFont="1" applyFill="1" applyAlignment="1"/>
    <xf numFmtId="166" fontId="0" fillId="3" borderId="1" xfId="0" applyNumberFormat="1" applyFont="1" applyFill="1" applyBorder="1" applyAlignment="1"/>
    <xf numFmtId="170" fontId="105" fillId="0" borderId="0" xfId="0" applyNumberFormat="1" applyFont="1" applyFill="1" applyBorder="1" applyAlignment="1">
      <alignment horizontal="right"/>
    </xf>
    <xf numFmtId="164" fontId="0" fillId="0" borderId="0" xfId="0" applyFill="1">
      <alignment horizontal="left" wrapText="1"/>
    </xf>
    <xf numFmtId="43" fontId="0" fillId="0" borderId="0" xfId="0" applyNumberFormat="1" applyFont="1" applyFill="1" applyAlignment="1">
      <alignment horizontal="left" wrapText="1"/>
    </xf>
    <xf numFmtId="166" fontId="104" fillId="0" borderId="0" xfId="0" applyNumberFormat="1" applyFont="1" applyFill="1" applyBorder="1" applyAlignment="1">
      <alignment horizontal="left"/>
    </xf>
    <xf numFmtId="170" fontId="42" fillId="7" borderId="0" xfId="0" applyNumberFormat="1" applyFont="1" applyFill="1" applyAlignment="1">
      <alignment horizontal="center"/>
    </xf>
    <xf numFmtId="166" fontId="42" fillId="7" borderId="0" xfId="0" applyNumberFormat="1" applyFont="1" applyFill="1" applyAlignment="1">
      <alignment horizontal="left"/>
    </xf>
    <xf numFmtId="166" fontId="42" fillId="7" borderId="3" xfId="0" applyNumberFormat="1" applyFont="1" applyFill="1" applyBorder="1" applyAlignment="1">
      <alignment horizontal="left"/>
    </xf>
    <xf numFmtId="166" fontId="42" fillId="7" borderId="4" xfId="0" applyNumberFormat="1" applyFont="1" applyFill="1" applyBorder="1" applyAlignment="1">
      <alignment horizontal="left"/>
    </xf>
    <xf numFmtId="166" fontId="104" fillId="7" borderId="0" xfId="0" applyNumberFormat="1" applyFont="1" applyFill="1" applyAlignment="1">
      <alignment horizontal="left"/>
    </xf>
    <xf numFmtId="0" fontId="4" fillId="0" borderId="0" xfId="0" applyNumberFormat="1" applyFont="1" applyAlignment="1"/>
    <xf numFmtId="166" fontId="0" fillId="0" borderId="0" xfId="0" applyNumberFormat="1" applyFont="1" applyAlignment="1"/>
    <xf numFmtId="165" fontId="0" fillId="0" borderId="0" xfId="0" applyNumberFormat="1" applyFont="1" applyAlignment="1">
      <alignment horizontal="left" wrapText="1"/>
    </xf>
    <xf numFmtId="166" fontId="0" fillId="0" borderId="2" xfId="0" applyNumberFormat="1" applyFont="1" applyBorder="1" applyAlignment="1"/>
    <xf numFmtId="166" fontId="0" fillId="0" borderId="52" xfId="0" applyNumberFormat="1" applyFont="1" applyBorder="1" applyAlignment="1"/>
    <xf numFmtId="166" fontId="0" fillId="7" borderId="0" xfId="0" applyNumberFormat="1" applyFont="1" applyFill="1" applyAlignment="1"/>
    <xf numFmtId="0" fontId="4" fillId="7" borderId="0" xfId="0" applyNumberFormat="1" applyFont="1" applyFill="1" applyAlignment="1"/>
    <xf numFmtId="164" fontId="0" fillId="0" borderId="0" xfId="0" applyAlignment="1">
      <alignment horizontal="center" wrapText="1"/>
    </xf>
    <xf numFmtId="9" fontId="0" fillId="0" borderId="0" xfId="0" applyNumberFormat="1" applyFont="1" applyAlignment="1">
      <alignment horizontal="center" wrapText="1"/>
    </xf>
    <xf numFmtId="10" fontId="0" fillId="0" borderId="0" xfId="0" applyNumberFormat="1" applyFont="1" applyAlignment="1">
      <alignment horizontal="center" wrapText="1"/>
    </xf>
    <xf numFmtId="166" fontId="40" fillId="0" borderId="0" xfId="0" applyNumberFormat="1" applyFont="1" applyFill="1" applyAlignment="1"/>
    <xf numFmtId="10" fontId="106" fillId="0" borderId="0" xfId="0" applyNumberFormat="1" applyFont="1" applyFill="1" applyAlignment="1"/>
    <xf numFmtId="164" fontId="0" fillId="0" borderId="0" xfId="0" applyAlignment="1">
      <alignment horizontal="right" wrapText="1"/>
    </xf>
    <xf numFmtId="17" fontId="9" fillId="0" borderId="0" xfId="0" applyNumberFormat="1" applyFont="1" applyFill="1" applyAlignment="1">
      <alignment horizontal="right"/>
    </xf>
    <xf numFmtId="164" fontId="106" fillId="0" borderId="0" xfId="0" applyFont="1" applyAlignment="1">
      <alignment horizontal="right" wrapText="1"/>
    </xf>
    <xf numFmtId="10" fontId="106" fillId="0" borderId="0" xfId="0" applyNumberFormat="1" applyFont="1" applyFill="1" applyAlignment="1">
      <alignment horizontal="right"/>
    </xf>
    <xf numFmtId="43" fontId="59" fillId="0" borderId="0" xfId="0" applyNumberFormat="1" applyFont="1" applyFill="1" applyAlignment="1"/>
    <xf numFmtId="0" fontId="4" fillId="0" borderId="0" xfId="0" applyNumberFormat="1" applyFont="1" applyFill="1" applyAlignment="1"/>
    <xf numFmtId="166" fontId="0" fillId="0" borderId="0" xfId="0" applyNumberFormat="1" applyFont="1" applyFill="1" applyAlignment="1"/>
    <xf numFmtId="166" fontId="4" fillId="0" borderId="0" xfId="0" applyNumberFormat="1" applyFont="1" applyFill="1" applyAlignment="1"/>
    <xf numFmtId="0" fontId="40" fillId="0" borderId="0" xfId="0" applyNumberFormat="1" applyFont="1" applyFill="1" applyAlignment="1"/>
    <xf numFmtId="0" fontId="0" fillId="0" borderId="0" xfId="0" applyNumberFormat="1">
      <alignment horizontal="left" wrapText="1"/>
    </xf>
    <xf numFmtId="166" fontId="0" fillId="0" borderId="0" xfId="0" applyNumberFormat="1" applyFont="1" applyAlignment="1">
      <alignment horizontal="left" wrapText="1"/>
    </xf>
    <xf numFmtId="10" fontId="0" fillId="0" borderId="0" xfId="0" applyNumberFormat="1" applyFont="1" applyAlignment="1">
      <alignment horizontal="left" wrapText="1"/>
    </xf>
    <xf numFmtId="0" fontId="40" fillId="0" borderId="0" xfId="0" quotePrefix="1" applyNumberFormat="1" applyFont="1" applyFill="1" applyAlignment="1">
      <alignment horizontal="right"/>
    </xf>
    <xf numFmtId="164" fontId="0" fillId="0" borderId="0" xfId="0" applyAlignment="1">
      <alignment horizontal="left"/>
    </xf>
    <xf numFmtId="0" fontId="13" fillId="0" borderId="48" xfId="0" applyNumberFormat="1" applyFont="1" applyFill="1" applyBorder="1" applyAlignment="1">
      <alignment horizontal="center" wrapText="1"/>
    </xf>
    <xf numFmtId="0" fontId="13" fillId="0" borderId="43" xfId="0" applyNumberFormat="1" applyFont="1" applyFill="1" applyBorder="1" applyAlignment="1">
      <alignment horizontal="center" wrapText="1"/>
    </xf>
    <xf numFmtId="0" fontId="13" fillId="22" borderId="67" xfId="0" applyNumberFormat="1" applyFont="1" applyFill="1" applyBorder="1" applyAlignment="1">
      <alignment horizontal="center" wrapText="1"/>
    </xf>
    <xf numFmtId="0" fontId="13" fillId="23" borderId="67" xfId="0" applyNumberFormat="1" applyFont="1" applyFill="1" applyBorder="1" applyAlignment="1">
      <alignment horizontal="center" wrapText="1"/>
    </xf>
    <xf numFmtId="0" fontId="52" fillId="5" borderId="0" xfId="0" applyNumberFormat="1" applyFont="1" applyFill="1" applyAlignment="1">
      <alignment horizontal="center"/>
    </xf>
    <xf numFmtId="7" fontId="6" fillId="5" borderId="0" xfId="0" applyNumberFormat="1" applyFont="1" applyFill="1" applyAlignment="1"/>
    <xf numFmtId="169" fontId="6" fillId="5" borderId="0" xfId="0" applyNumberFormat="1" applyFont="1" applyFill="1" applyAlignment="1"/>
    <xf numFmtId="0" fontId="23" fillId="25" borderId="0" xfId="0" applyNumberFormat="1" applyFont="1" applyFill="1" applyAlignment="1">
      <alignment horizontal="center"/>
    </xf>
    <xf numFmtId="37" fontId="12" fillId="25" borderId="0" xfId="0" applyNumberFormat="1" applyFont="1" applyFill="1" applyAlignment="1"/>
    <xf numFmtId="37" fontId="23" fillId="25" borderId="0" xfId="0" applyNumberFormat="1" applyFont="1" applyFill="1" applyAlignment="1"/>
    <xf numFmtId="164" fontId="13" fillId="0" borderId="0" xfId="0" applyFont="1" applyFill="1" applyAlignment="1"/>
    <xf numFmtId="164" fontId="0" fillId="0" borderId="22" xfId="0" applyFill="1" applyBorder="1" applyAlignment="1"/>
    <xf numFmtId="172" fontId="0" fillId="0" borderId="20" xfId="0" applyNumberFormat="1" applyFill="1" applyBorder="1" applyAlignment="1">
      <alignment horizontal="left"/>
    </xf>
    <xf numFmtId="172" fontId="0" fillId="0" borderId="23" xfId="0" applyNumberFormat="1" applyFill="1" applyBorder="1" applyAlignment="1">
      <alignment horizontal="left"/>
    </xf>
    <xf numFmtId="164" fontId="0" fillId="0" borderId="24" xfId="0" applyFill="1" applyBorder="1" applyAlignment="1"/>
    <xf numFmtId="164" fontId="0" fillId="0" borderId="28" xfId="0" applyFill="1" applyBorder="1" applyAlignment="1"/>
    <xf numFmtId="164" fontId="0" fillId="0" borderId="29" xfId="0" applyFill="1" applyBorder="1" applyAlignment="1"/>
    <xf numFmtId="166" fontId="0" fillId="0" borderId="28" xfId="0" applyNumberFormat="1" applyFill="1" applyBorder="1" applyAlignment="1"/>
    <xf numFmtId="166" fontId="0" fillId="0" borderId="30" xfId="0" applyNumberFormat="1" applyFill="1" applyBorder="1" applyAlignment="1"/>
    <xf numFmtId="166" fontId="0" fillId="0" borderId="31" xfId="0" applyNumberFormat="1" applyFill="1" applyBorder="1" applyAlignment="1"/>
    <xf numFmtId="164" fontId="0" fillId="0" borderId="32" xfId="0" applyFill="1" applyBorder="1" applyAlignment="1"/>
    <xf numFmtId="166" fontId="0" fillId="0" borderId="1" xfId="0" applyNumberFormat="1" applyFill="1" applyBorder="1" applyAlignment="1"/>
    <xf numFmtId="166" fontId="0" fillId="0" borderId="53" xfId="0" applyNumberFormat="1" applyFill="1" applyBorder="1" applyAlignment="1"/>
    <xf numFmtId="164" fontId="0" fillId="0" borderId="33" xfId="0" applyFill="1" applyBorder="1" applyAlignment="1"/>
    <xf numFmtId="166" fontId="0" fillId="0" borderId="55" xfId="0" applyNumberFormat="1" applyFont="1" applyFill="1" applyBorder="1" applyAlignment="1"/>
    <xf numFmtId="166" fontId="0" fillId="0" borderId="11" xfId="0" applyNumberFormat="1" applyFont="1" applyFill="1" applyBorder="1" applyAlignment="1"/>
    <xf numFmtId="164" fontId="0" fillId="0" borderId="34" xfId="0" applyFill="1" applyBorder="1" applyAlignment="1"/>
    <xf numFmtId="166" fontId="26" fillId="0" borderId="55" xfId="0" applyNumberFormat="1" applyFont="1" applyFill="1" applyBorder="1" applyAlignment="1"/>
    <xf numFmtId="166" fontId="26" fillId="0" borderId="11" xfId="0" applyNumberFormat="1" applyFont="1" applyFill="1" applyBorder="1" applyAlignment="1"/>
    <xf numFmtId="0" fontId="13" fillId="0" borderId="32" xfId="0" applyNumberFormat="1" applyFont="1" applyFill="1" applyBorder="1" applyAlignment="1"/>
    <xf numFmtId="0" fontId="13" fillId="0" borderId="33" xfId="0" applyNumberFormat="1" applyFont="1" applyFill="1" applyBorder="1" applyAlignment="1"/>
    <xf numFmtId="166" fontId="0" fillId="0" borderId="0" xfId="0" applyNumberFormat="1" applyFill="1" applyBorder="1" applyAlignment="1"/>
    <xf numFmtId="166" fontId="0" fillId="0" borderId="8" xfId="0" applyNumberFormat="1" applyFill="1" applyBorder="1" applyAlignment="1"/>
    <xf numFmtId="0" fontId="13" fillId="0" borderId="34" xfId="0" applyNumberFormat="1" applyFont="1" applyFill="1" applyBorder="1" applyAlignment="1"/>
    <xf numFmtId="166" fontId="0" fillId="0" borderId="55" xfId="0" applyNumberFormat="1" applyFill="1" applyBorder="1" applyAlignment="1"/>
    <xf numFmtId="166" fontId="0" fillId="0" borderId="11" xfId="0" applyNumberFormat="1" applyFill="1" applyBorder="1" applyAlignment="1"/>
    <xf numFmtId="0" fontId="23" fillId="0" borderId="32" xfId="0" applyNumberFormat="1" applyFont="1" applyFill="1" applyBorder="1" applyAlignment="1"/>
    <xf numFmtId="0" fontId="12" fillId="0" borderId="33" xfId="0" applyNumberFormat="1" applyFont="1" applyFill="1" applyBorder="1" applyAlignment="1"/>
    <xf numFmtId="0" fontId="23" fillId="0" borderId="33" xfId="0" applyNumberFormat="1" applyFont="1" applyFill="1" applyBorder="1" applyAlignment="1"/>
    <xf numFmtId="0" fontId="23" fillId="0" borderId="34" xfId="0" applyNumberFormat="1" applyFont="1" applyFill="1" applyBorder="1" applyAlignment="1"/>
    <xf numFmtId="0" fontId="65" fillId="0" borderId="34" xfId="0" applyNumberFormat="1" applyFont="1" applyFill="1" applyBorder="1" applyAlignment="1"/>
    <xf numFmtId="166" fontId="13" fillId="0" borderId="55" xfId="0" applyNumberFormat="1" applyFont="1" applyFill="1" applyBorder="1" applyAlignment="1"/>
    <xf numFmtId="166" fontId="13" fillId="0" borderId="11" xfId="0" applyNumberFormat="1" applyFont="1" applyFill="1" applyBorder="1" applyAlignment="1"/>
    <xf numFmtId="0" fontId="11" fillId="0" borderId="0" xfId="0" applyNumberFormat="1" applyFont="1" applyFill="1" applyAlignment="1">
      <alignment horizontal="left"/>
    </xf>
    <xf numFmtId="0" fontId="12" fillId="0" borderId="0" xfId="1" applyFont="1" applyFill="1" applyBorder="1" applyAlignment="1">
      <alignment horizontal="right" vertical="center"/>
    </xf>
    <xf numFmtId="166" fontId="12" fillId="0" borderId="67" xfId="2" applyNumberFormat="1" applyFill="1" applyBorder="1" applyAlignment="1">
      <alignment vertical="center"/>
    </xf>
    <xf numFmtId="166" fontId="12" fillId="10" borderId="64" xfId="3" applyNumberFormat="1" applyFill="1" applyBorder="1" applyAlignment="1">
      <alignment vertical="center"/>
    </xf>
    <xf numFmtId="0" fontId="12" fillId="10" borderId="0" xfId="1" applyFont="1" applyFill="1" applyBorder="1" applyAlignment="1">
      <alignment horizontal="right" vertical="center"/>
    </xf>
    <xf numFmtId="166" fontId="12" fillId="0" borderId="9" xfId="2" applyNumberFormat="1" applyFill="1" applyBorder="1" applyAlignment="1">
      <alignment vertical="center"/>
    </xf>
    <xf numFmtId="166" fontId="12" fillId="10" borderId="65" xfId="3" applyNumberFormat="1" applyFill="1" applyBorder="1" applyAlignment="1">
      <alignment vertical="center"/>
    </xf>
    <xf numFmtId="0" fontId="12" fillId="10" borderId="0" xfId="1" applyFill="1" applyAlignment="1">
      <alignment horizontal="right" vertical="center"/>
    </xf>
    <xf numFmtId="0" fontId="12" fillId="10" borderId="0" xfId="1" applyFill="1" applyAlignment="1">
      <alignment horizontal="right"/>
    </xf>
    <xf numFmtId="0" fontId="12" fillId="10" borderId="0" xfId="1" applyFont="1" applyFill="1" applyBorder="1" applyAlignment="1">
      <alignment horizontal="right" vertical="center" wrapText="1"/>
    </xf>
    <xf numFmtId="0" fontId="12" fillId="0" borderId="47" xfId="1" applyFont="1" applyFill="1" applyBorder="1" applyAlignment="1">
      <alignment horizontal="right" vertical="center"/>
    </xf>
    <xf numFmtId="166" fontId="12" fillId="0" borderId="46" xfId="2" applyNumberFormat="1" applyFill="1" applyBorder="1" applyAlignment="1">
      <alignment vertical="center"/>
    </xf>
    <xf numFmtId="0" fontId="13" fillId="0" borderId="0" xfId="4" applyFont="1" applyFill="1" applyAlignment="1">
      <alignment horizontal="right"/>
    </xf>
    <xf numFmtId="166" fontId="12" fillId="0" borderId="18" xfId="2" applyNumberFormat="1" applyFill="1" applyBorder="1"/>
    <xf numFmtId="166" fontId="12" fillId="10" borderId="18" xfId="2" applyNumberFormat="1" applyFill="1" applyBorder="1"/>
    <xf numFmtId="0" fontId="12" fillId="0" borderId="0" xfId="1"/>
    <xf numFmtId="0" fontId="11" fillId="0" borderId="0" xfId="1" applyFont="1" applyAlignment="1">
      <alignment horizontal="right"/>
    </xf>
    <xf numFmtId="0" fontId="12" fillId="0" borderId="0" xfId="1" applyAlignment="1">
      <alignment horizontal="right"/>
    </xf>
    <xf numFmtId="166" fontId="85" fillId="0" borderId="0" xfId="1" applyNumberFormat="1" applyFont="1"/>
    <xf numFmtId="166" fontId="85" fillId="0" borderId="52" xfId="1" applyNumberFormat="1" applyFont="1" applyBorder="1"/>
    <xf numFmtId="166" fontId="108" fillId="26" borderId="9" xfId="2" applyNumberFormat="1" applyFont="1" applyFill="1" applyBorder="1" applyAlignment="1">
      <alignment vertical="center"/>
    </xf>
    <xf numFmtId="166" fontId="58" fillId="26" borderId="18" xfId="2" applyNumberFormat="1" applyFont="1" applyFill="1" applyBorder="1"/>
    <xf numFmtId="166" fontId="108" fillId="3" borderId="0" xfId="2" applyNumberFormat="1" applyFont="1" applyFill="1" applyAlignment="1">
      <alignment horizontal="left" wrapText="1"/>
    </xf>
    <xf numFmtId="0" fontId="109" fillId="0" borderId="0" xfId="0" applyNumberFormat="1" applyFont="1" applyFill="1" applyBorder="1" applyAlignment="1">
      <alignment horizontal="right"/>
    </xf>
    <xf numFmtId="166" fontId="0" fillId="0" borderId="0" xfId="2" applyNumberFormat="1" applyFont="1" applyAlignment="1">
      <alignment horizontal="left" wrapText="1"/>
    </xf>
    <xf numFmtId="0" fontId="107" fillId="0" borderId="0" xfId="0" applyNumberFormat="1" applyFont="1" applyFill="1" applyBorder="1" applyAlignment="1">
      <alignment horizontal="right"/>
    </xf>
    <xf numFmtId="0" fontId="73" fillId="0" borderId="0" xfId="0" applyNumberFormat="1" applyFont="1" applyFill="1" applyBorder="1" applyAlignment="1">
      <alignment horizontal="center"/>
    </xf>
    <xf numFmtId="42" fontId="110" fillId="3" borderId="33" xfId="0" applyNumberFormat="1" applyFont="1" applyFill="1" applyBorder="1" applyAlignment="1"/>
    <xf numFmtId="0" fontId="86" fillId="0" borderId="0" xfId="5" applyFont="1" applyAlignment="1">
      <alignment horizontal="left"/>
    </xf>
    <xf numFmtId="0" fontId="3" fillId="0" borderId="0" xfId="5" applyFont="1" applyAlignment="1">
      <alignment horizontal="centerContinuous"/>
    </xf>
    <xf numFmtId="0" fontId="86" fillId="0" borderId="0" xfId="5" applyNumberFormat="1" applyFont="1" applyAlignment="1">
      <alignment horizontal="center"/>
    </xf>
    <xf numFmtId="0" fontId="3" fillId="0" borderId="0" xfId="5"/>
    <xf numFmtId="0" fontId="3" fillId="0" borderId="0" xfId="5" applyFont="1" applyBorder="1"/>
    <xf numFmtId="0" fontId="3" fillId="0" borderId="0" xfId="5" applyFont="1"/>
    <xf numFmtId="0" fontId="34" fillId="0" borderId="0" xfId="5" applyFont="1"/>
    <xf numFmtId="0" fontId="37" fillId="0" borderId="0" xfId="6" applyNumberFormat="1" applyFont="1" applyFill="1" applyAlignment="1">
      <alignment vertical="top"/>
    </xf>
    <xf numFmtId="0" fontId="3" fillId="0" borderId="0" xfId="5" applyFont="1" applyFill="1" applyAlignment="1">
      <alignment horizontal="centerContinuous"/>
    </xf>
    <xf numFmtId="0" fontId="75" fillId="0" borderId="0" xfId="5" applyNumberFormat="1" applyFont="1" applyBorder="1" applyAlignment="1">
      <alignment horizontal="center"/>
    </xf>
    <xf numFmtId="0" fontId="89" fillId="0" borderId="51" xfId="5" applyNumberFormat="1" applyFont="1" applyBorder="1" applyAlignment="1">
      <alignment horizontal="left"/>
    </xf>
    <xf numFmtId="0" fontId="89" fillId="0" borderId="52" xfId="5" applyNumberFormat="1" applyFont="1" applyBorder="1" applyAlignment="1">
      <alignment horizontal="center"/>
    </xf>
    <xf numFmtId="0" fontId="21" fillId="0" borderId="51" xfId="5" applyFont="1" applyFill="1" applyBorder="1" applyAlignment="1">
      <alignment horizontal="center" wrapText="1"/>
    </xf>
    <xf numFmtId="0" fontId="29" fillId="0" borderId="44" xfId="5" applyFont="1" applyFill="1" applyBorder="1" applyAlignment="1">
      <alignment horizontal="center" wrapText="1"/>
    </xf>
    <xf numFmtId="0" fontId="29" fillId="0" borderId="57" xfId="5" applyFont="1" applyFill="1" applyBorder="1" applyAlignment="1">
      <alignment horizontal="center" wrapText="1"/>
    </xf>
    <xf numFmtId="17" fontId="73" fillId="0" borderId="0" xfId="5" applyNumberFormat="1" applyFont="1" applyBorder="1" applyAlignment="1">
      <alignment horizontal="center" wrapText="1"/>
    </xf>
    <xf numFmtId="0" fontId="3" fillId="0" borderId="0" xfId="5" applyFont="1" applyBorder="1" applyAlignment="1">
      <alignment wrapText="1"/>
    </xf>
    <xf numFmtId="0" fontId="90" fillId="0" borderId="33" xfId="5" applyNumberFormat="1" applyFont="1" applyFill="1" applyBorder="1" applyAlignment="1">
      <alignment horizontal="left"/>
    </xf>
    <xf numFmtId="0" fontId="91" fillId="0" borderId="52" xfId="5" applyNumberFormat="1" applyFont="1" applyFill="1" applyBorder="1" applyAlignment="1"/>
    <xf numFmtId="42" fontId="75" fillId="0" borderId="33" xfId="5" applyNumberFormat="1" applyFont="1" applyBorder="1"/>
    <xf numFmtId="42" fontId="75" fillId="0" borderId="7" xfId="5" applyNumberFormat="1" applyFont="1" applyBorder="1"/>
    <xf numFmtId="42" fontId="75" fillId="0" borderId="8" xfId="5" applyNumberFormat="1" applyFont="1" applyBorder="1"/>
    <xf numFmtId="0" fontId="91" fillId="0" borderId="0" xfId="5" applyNumberFormat="1" applyFont="1" applyFill="1" applyBorder="1" applyAlignment="1"/>
    <xf numFmtId="165" fontId="72" fillId="0" borderId="0" xfId="5" applyNumberFormat="1" applyFont="1" applyFill="1" applyBorder="1" applyAlignment="1"/>
    <xf numFmtId="0" fontId="89" fillId="0" borderId="33" xfId="5" applyFont="1" applyFill="1" applyBorder="1" applyAlignment="1">
      <alignment horizontal="left"/>
    </xf>
    <xf numFmtId="166" fontId="3" fillId="0" borderId="0" xfId="5" applyNumberFormat="1" applyFont="1" applyBorder="1"/>
    <xf numFmtId="166" fontId="72" fillId="0" borderId="0" xfId="5" applyNumberFormat="1" applyFont="1" applyFill="1" applyBorder="1" applyAlignment="1"/>
    <xf numFmtId="0" fontId="72" fillId="0" borderId="0" xfId="5" applyFont="1" applyBorder="1"/>
    <xf numFmtId="0" fontId="75" fillId="0" borderId="0" xfId="5" applyFont="1"/>
    <xf numFmtId="0" fontId="92" fillId="0" borderId="50" xfId="5" applyNumberFormat="1" applyFont="1" applyFill="1" applyBorder="1" applyAlignment="1"/>
    <xf numFmtId="42" fontId="21" fillId="0" borderId="66" xfId="5" applyNumberFormat="1" applyFont="1" applyBorder="1"/>
    <xf numFmtId="42" fontId="21" fillId="0" borderId="56" xfId="5" applyNumberFormat="1" applyFont="1" applyBorder="1"/>
    <xf numFmtId="42" fontId="68" fillId="0" borderId="54" xfId="5" applyNumberFormat="1" applyFont="1" applyBorder="1"/>
    <xf numFmtId="42" fontId="68" fillId="0" borderId="56" xfId="5" applyNumberFormat="1" applyFont="1" applyBorder="1"/>
    <xf numFmtId="166" fontId="3" fillId="0" borderId="33" xfId="5" applyNumberFormat="1" applyFont="1" applyBorder="1"/>
    <xf numFmtId="166" fontId="3" fillId="0" borderId="7" xfId="5" applyNumberFormat="1" applyFont="1" applyBorder="1"/>
    <xf numFmtId="166" fontId="72" fillId="0" borderId="8" xfId="5" applyNumberFormat="1" applyFont="1" applyBorder="1"/>
    <xf numFmtId="166" fontId="72" fillId="0" borderId="7" xfId="5" applyNumberFormat="1" applyFont="1" applyBorder="1"/>
    <xf numFmtId="0" fontId="89" fillId="0" borderId="34" xfId="5" applyFont="1" applyFill="1" applyBorder="1" applyAlignment="1">
      <alignment horizontal="left"/>
    </xf>
    <xf numFmtId="0" fontId="91" fillId="0" borderId="55" xfId="5" applyNumberFormat="1" applyFont="1" applyFill="1" applyBorder="1" applyAlignment="1">
      <alignment horizontal="left"/>
    </xf>
    <xf numFmtId="166" fontId="75" fillId="0" borderId="44" xfId="7" applyNumberFormat="1" applyFont="1" applyBorder="1"/>
    <xf numFmtId="166" fontId="75" fillId="0" borderId="57" xfId="5" applyNumberFormat="1" applyFont="1" applyFill="1" applyBorder="1"/>
    <xf numFmtId="166" fontId="75" fillId="0" borderId="44" xfId="5" applyNumberFormat="1" applyFont="1" applyFill="1" applyBorder="1"/>
    <xf numFmtId="180" fontId="3" fillId="0" borderId="0" xfId="5" applyNumberFormat="1" applyFont="1" applyAlignment="1">
      <alignment horizontal="center"/>
    </xf>
    <xf numFmtId="43" fontId="3" fillId="0" borderId="0" xfId="5" applyNumberFormat="1" applyFont="1" applyAlignment="1">
      <alignment horizontal="center"/>
    </xf>
    <xf numFmtId="0" fontId="72" fillId="0" borderId="0" xfId="5" applyNumberFormat="1" applyFont="1" applyFill="1" applyBorder="1" applyAlignment="1"/>
    <xf numFmtId="0" fontId="74" fillId="0" borderId="0" xfId="5" applyNumberFormat="1" applyFont="1" applyFill="1" applyBorder="1" applyAlignment="1"/>
    <xf numFmtId="0" fontId="72" fillId="0" borderId="0" xfId="5" applyNumberFormat="1" applyFont="1" applyFill="1" applyBorder="1" applyAlignment="1">
      <alignment horizontal="left"/>
    </xf>
    <xf numFmtId="42" fontId="74" fillId="0" borderId="0" xfId="5" applyNumberFormat="1" applyFont="1" applyFill="1" applyBorder="1" applyAlignment="1"/>
    <xf numFmtId="0" fontId="73" fillId="0" borderId="0" xfId="5" applyNumberFormat="1" applyFont="1" applyFill="1" applyBorder="1" applyAlignment="1">
      <alignment horizontal="center"/>
    </xf>
    <xf numFmtId="0" fontId="73" fillId="0" borderId="0" xfId="5" applyNumberFormat="1" applyFont="1" applyFill="1" applyBorder="1" applyAlignment="1"/>
    <xf numFmtId="42" fontId="21" fillId="0" borderId="0" xfId="5" applyNumberFormat="1" applyFont="1" applyBorder="1"/>
    <xf numFmtId="17" fontId="73" fillId="0" borderId="0" xfId="5" applyNumberFormat="1" applyFont="1" applyFill="1" applyBorder="1" applyAlignment="1">
      <alignment horizontal="center"/>
    </xf>
    <xf numFmtId="0" fontId="3" fillId="0" borderId="0" xfId="5" applyFont="1" applyFill="1" applyBorder="1"/>
    <xf numFmtId="164" fontId="111" fillId="0" borderId="0" xfId="5" applyNumberFormat="1" applyFont="1" applyFill="1" applyBorder="1" applyAlignment="1"/>
    <xf numFmtId="0" fontId="3" fillId="0" borderId="0" xfId="5" applyFont="1" applyBorder="1" applyAlignment="1">
      <alignment horizontal="center"/>
    </xf>
    <xf numFmtId="166" fontId="72" fillId="0" borderId="0" xfId="5" applyNumberFormat="1" applyFont="1" applyFill="1" applyBorder="1" applyAlignment="1">
      <alignment horizontal="center"/>
    </xf>
    <xf numFmtId="166" fontId="112" fillId="0" borderId="0" xfId="5" applyNumberFormat="1" applyFont="1" applyFill="1" applyBorder="1" applyAlignment="1">
      <alignment horizontal="center"/>
    </xf>
    <xf numFmtId="17" fontId="72" fillId="0" borderId="0" xfId="5" applyNumberFormat="1" applyFont="1" applyFill="1" applyBorder="1" applyAlignment="1">
      <alignment horizontal="center"/>
    </xf>
    <xf numFmtId="165" fontId="72" fillId="0" borderId="0" xfId="5" applyNumberFormat="1" applyFont="1" applyFill="1" applyBorder="1" applyAlignment="1">
      <alignment horizontal="center"/>
    </xf>
    <xf numFmtId="17" fontId="73" fillId="0" borderId="0" xfId="5" applyNumberFormat="1" applyFont="1" applyFill="1" applyBorder="1" applyAlignment="1">
      <alignment horizontal="center" wrapText="1"/>
    </xf>
    <xf numFmtId="166" fontId="113" fillId="0" borderId="0" xfId="5" applyNumberFormat="1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166" fontId="0" fillId="0" borderId="0" xfId="8" applyNumberFormat="1" applyFont="1" applyAlignment="1">
      <alignment horizontal="left" wrapText="1"/>
    </xf>
    <xf numFmtId="164" fontId="116" fillId="28" borderId="0" xfId="10" applyNumberFormat="1" applyFont="1" applyAlignment="1">
      <alignment horizontal="left"/>
    </xf>
    <xf numFmtId="164" fontId="116" fillId="28" borderId="0" xfId="10" applyNumberFormat="1" applyFont="1" applyAlignment="1">
      <alignment horizontal="left" wrapText="1"/>
    </xf>
    <xf numFmtId="0" fontId="117" fillId="28" borderId="0" xfId="10" applyNumberFormat="1" applyFont="1" applyAlignment="1">
      <alignment horizontal="left"/>
    </xf>
    <xf numFmtId="0" fontId="117" fillId="28" borderId="0" xfId="10" applyNumberFormat="1" applyFont="1" applyAlignment="1">
      <alignment horizontal="center"/>
    </xf>
    <xf numFmtId="164" fontId="115" fillId="28" borderId="0" xfId="10" applyNumberFormat="1" applyAlignment="1">
      <alignment horizontal="left" wrapText="1"/>
    </xf>
    <xf numFmtId="43" fontId="119" fillId="29" borderId="0" xfId="11" applyNumberFormat="1" applyAlignment="1">
      <alignment horizontal="left" wrapText="1"/>
    </xf>
    <xf numFmtId="164" fontId="119" fillId="29" borderId="0" xfId="11" applyNumberFormat="1" applyAlignment="1">
      <alignment horizontal="left"/>
    </xf>
    <xf numFmtId="164" fontId="119" fillId="29" borderId="0" xfId="11" applyNumberFormat="1" applyAlignment="1">
      <alignment horizontal="left" wrapText="1"/>
    </xf>
    <xf numFmtId="165" fontId="119" fillId="29" borderId="0" xfId="11" applyNumberFormat="1" applyAlignment="1">
      <alignment horizontal="left" wrapText="1"/>
    </xf>
    <xf numFmtId="164" fontId="119" fillId="29" borderId="0" xfId="11" applyNumberFormat="1" applyAlignment="1">
      <alignment horizontal="right" wrapText="1"/>
    </xf>
    <xf numFmtId="170" fontId="104" fillId="0" borderId="0" xfId="0" applyNumberFormat="1" applyFont="1" applyFill="1" applyAlignment="1">
      <alignment horizontal="left"/>
    </xf>
    <xf numFmtId="166" fontId="42" fillId="3" borderId="0" xfId="0" applyNumberFormat="1" applyFont="1" applyFill="1" applyAlignment="1">
      <alignment horizontal="left"/>
    </xf>
    <xf numFmtId="166" fontId="42" fillId="3" borderId="3" xfId="0" applyNumberFormat="1" applyFont="1" applyFill="1" applyBorder="1" applyAlignment="1">
      <alignment horizontal="left"/>
    </xf>
    <xf numFmtId="182" fontId="120" fillId="0" borderId="0" xfId="12" applyNumberFormat="1" applyFont="1" applyBorder="1"/>
    <xf numFmtId="0" fontId="120" fillId="0" borderId="0" xfId="12" applyFont="1"/>
    <xf numFmtId="166" fontId="42" fillId="0" borderId="0" xfId="0" applyNumberFormat="1" applyFont="1" applyFill="1" applyAlignment="1">
      <alignment horizontal="center"/>
    </xf>
    <xf numFmtId="170" fontId="42" fillId="12" borderId="0" xfId="0" applyNumberFormat="1" applyFont="1" applyFill="1" applyAlignment="1">
      <alignment horizontal="center"/>
    </xf>
    <xf numFmtId="166" fontId="42" fillId="12" borderId="0" xfId="0" applyNumberFormat="1" applyFont="1" applyFill="1" applyAlignment="1">
      <alignment horizontal="left"/>
    </xf>
    <xf numFmtId="166" fontId="42" fillId="12" borderId="3" xfId="0" applyNumberFormat="1" applyFont="1" applyFill="1" applyBorder="1" applyAlignment="1">
      <alignment horizontal="left"/>
    </xf>
    <xf numFmtId="166" fontId="104" fillId="12" borderId="0" xfId="0" applyNumberFormat="1" applyFont="1" applyFill="1" applyAlignment="1">
      <alignment horizontal="left"/>
    </xf>
    <xf numFmtId="166" fontId="42" fillId="12" borderId="4" xfId="0" applyNumberFormat="1" applyFont="1" applyFill="1" applyBorder="1" applyAlignment="1">
      <alignment horizontal="left"/>
    </xf>
    <xf numFmtId="164" fontId="0" fillId="0" borderId="0" xfId="0" applyFont="1" applyAlignment="1">
      <alignment horizontal="center"/>
    </xf>
    <xf numFmtId="164" fontId="86" fillId="0" borderId="0" xfId="0" applyFont="1" applyAlignment="1">
      <alignment horizontal="centerContinuous"/>
    </xf>
    <xf numFmtId="164" fontId="37" fillId="0" borderId="0" xfId="0" applyFont="1" applyAlignment="1"/>
    <xf numFmtId="164" fontId="86" fillId="0" borderId="0" xfId="0" applyFont="1" applyFill="1" applyAlignment="1">
      <alignment horizontal="centerContinuous"/>
    </xf>
    <xf numFmtId="0" fontId="86" fillId="0" borderId="0" xfId="0" applyNumberFormat="1" applyFont="1" applyFill="1" applyAlignment="1">
      <alignment horizontal="center"/>
    </xf>
    <xf numFmtId="164" fontId="0" fillId="0" borderId="0" xfId="0" applyFont="1" applyBorder="1" applyAlignment="1">
      <alignment horizontal="centerContinuous"/>
    </xf>
    <xf numFmtId="0" fontId="75" fillId="0" borderId="0" xfId="0" applyNumberFormat="1" applyFont="1" applyFill="1" applyAlignment="1">
      <alignment horizontal="center"/>
    </xf>
    <xf numFmtId="0" fontId="75" fillId="0" borderId="0" xfId="0" applyNumberFormat="1" applyFont="1" applyAlignment="1">
      <alignment horizontal="center"/>
    </xf>
    <xf numFmtId="0" fontId="75" fillId="0" borderId="0" xfId="0" applyNumberFormat="1" applyFont="1" applyFill="1" applyAlignment="1">
      <alignment horizontal="centerContinuous" vertical="top"/>
    </xf>
    <xf numFmtId="0" fontId="68" fillId="0" borderId="51" xfId="0" applyNumberFormat="1" applyFont="1" applyBorder="1" applyAlignment="1">
      <alignment horizontal="left"/>
    </xf>
    <xf numFmtId="0" fontId="68" fillId="0" borderId="52" xfId="0" applyNumberFormat="1" applyFont="1" applyBorder="1" applyAlignment="1">
      <alignment horizontal="center"/>
    </xf>
    <xf numFmtId="164" fontId="21" fillId="0" borderId="44" xfId="0" applyFont="1" applyFill="1" applyBorder="1" applyAlignment="1">
      <alignment horizontal="center" wrapText="1"/>
    </xf>
    <xf numFmtId="164" fontId="21" fillId="0" borderId="57" xfId="0" applyFont="1" applyFill="1" applyBorder="1" applyAlignment="1">
      <alignment horizontal="center" wrapText="1"/>
    </xf>
    <xf numFmtId="0" fontId="91" fillId="0" borderId="33" xfId="0" applyNumberFormat="1" applyFont="1" applyFill="1" applyBorder="1" applyAlignment="1">
      <alignment horizontal="left"/>
    </xf>
    <xf numFmtId="5" fontId="75" fillId="0" borderId="33" xfId="0" applyNumberFormat="1" applyFont="1" applyBorder="1" applyAlignment="1"/>
    <xf numFmtId="5" fontId="75" fillId="0" borderId="8" xfId="0" applyNumberFormat="1" applyFont="1" applyBorder="1" applyAlignment="1"/>
    <xf numFmtId="5" fontId="91" fillId="0" borderId="0" xfId="0" applyNumberFormat="1" applyFont="1" applyFill="1" applyBorder="1" applyAlignment="1"/>
    <xf numFmtId="5" fontId="75" fillId="0" borderId="7" xfId="0" applyNumberFormat="1" applyFont="1" applyBorder="1" applyAlignment="1"/>
    <xf numFmtId="164" fontId="75" fillId="0" borderId="33" xfId="0" applyFont="1" applyFill="1" applyBorder="1" applyAlignment="1">
      <alignment horizontal="left"/>
    </xf>
    <xf numFmtId="0" fontId="91" fillId="0" borderId="34" xfId="0" applyNumberFormat="1" applyFont="1" applyFill="1" applyBorder="1" applyAlignment="1">
      <alignment horizontal="left"/>
    </xf>
    <xf numFmtId="0" fontId="92" fillId="0" borderId="73" xfId="0" applyNumberFormat="1" applyFont="1" applyFill="1" applyBorder="1" applyAlignment="1"/>
    <xf numFmtId="5" fontId="21" fillId="0" borderId="66" xfId="0" applyNumberFormat="1" applyFont="1" applyBorder="1" applyAlignment="1"/>
    <xf numFmtId="5" fontId="21" fillId="0" borderId="56" xfId="0" applyNumberFormat="1" applyFont="1" applyBorder="1" applyAlignment="1"/>
    <xf numFmtId="5" fontId="92" fillId="0" borderId="0" xfId="0" applyNumberFormat="1" applyFont="1" applyFill="1" applyBorder="1" applyAlignment="1"/>
    <xf numFmtId="5" fontId="68" fillId="0" borderId="56" xfId="0" applyNumberFormat="1" applyFont="1" applyBorder="1" applyAlignment="1"/>
    <xf numFmtId="166" fontId="75" fillId="0" borderId="0" xfId="0" applyNumberFormat="1" applyFont="1" applyBorder="1" applyAlignment="1"/>
    <xf numFmtId="0" fontId="68" fillId="0" borderId="0" xfId="0" applyNumberFormat="1" applyFont="1" applyFill="1" applyBorder="1" applyAlignment="1"/>
    <xf numFmtId="164" fontId="75" fillId="0" borderId="51" xfId="0" applyFont="1" applyFill="1" applyBorder="1" applyAlignment="1">
      <alignment horizontal="left"/>
    </xf>
    <xf numFmtId="0" fontId="91" fillId="0" borderId="57" xfId="0" applyNumberFormat="1" applyFont="1" applyFill="1" applyBorder="1" applyAlignment="1">
      <alignment horizontal="left"/>
    </xf>
    <xf numFmtId="166" fontId="75" fillId="0" borderId="44" xfId="8" applyNumberFormat="1" applyFont="1" applyBorder="1"/>
    <xf numFmtId="166" fontId="75" fillId="0" borderId="44" xfId="0" applyNumberFormat="1" applyFont="1" applyFill="1" applyBorder="1" applyAlignment="1"/>
    <xf numFmtId="164" fontId="75" fillId="0" borderId="34" xfId="0" applyFont="1" applyFill="1" applyBorder="1" applyAlignment="1">
      <alignment horizontal="left"/>
    </xf>
    <xf numFmtId="184" fontId="75" fillId="0" borderId="44" xfId="8" applyNumberFormat="1" applyFont="1" applyBorder="1"/>
    <xf numFmtId="184" fontId="75" fillId="0" borderId="57" xfId="0" applyNumberFormat="1" applyFont="1" applyFill="1" applyBorder="1" applyAlignment="1"/>
    <xf numFmtId="184" fontId="75" fillId="0" borderId="44" xfId="0" applyNumberFormat="1" applyFont="1" applyFill="1" applyBorder="1" applyAlignment="1"/>
    <xf numFmtId="0" fontId="89" fillId="0" borderId="0" xfId="0" applyNumberFormat="1" applyFont="1" applyFill="1" applyBorder="1" applyAlignment="1"/>
    <xf numFmtId="0" fontId="121" fillId="0" borderId="0" xfId="0" applyNumberFormat="1" applyFont="1" applyFill="1" applyBorder="1" applyAlignment="1"/>
    <xf numFmtId="183" fontId="0" fillId="0" borderId="0" xfId="0" applyNumberFormat="1" applyFont="1" applyBorder="1" applyAlignment="1"/>
    <xf numFmtId="0" fontId="89" fillId="0" borderId="0" xfId="0" applyNumberFormat="1" applyFont="1" applyFill="1" applyBorder="1" applyAlignment="1">
      <alignment horizontal="left"/>
    </xf>
    <xf numFmtId="42" fontId="121" fillId="0" borderId="0" xfId="0" applyNumberFormat="1" applyFont="1" applyFill="1" applyBorder="1" applyAlignment="1"/>
    <xf numFmtId="44" fontId="21" fillId="0" borderId="0" xfId="9" applyFont="1" applyBorder="1"/>
    <xf numFmtId="5" fontId="68" fillId="0" borderId="0" xfId="0" applyNumberFormat="1" applyFont="1" applyFill="1" applyBorder="1" applyAlignment="1"/>
    <xf numFmtId="17" fontId="73" fillId="0" borderId="0" xfId="0" applyNumberFormat="1" applyFont="1" applyFill="1" applyBorder="1" applyAlignment="1">
      <alignment horizontal="center"/>
    </xf>
    <xf numFmtId="164" fontId="0" fillId="0" borderId="0" xfId="0" applyFont="1" applyFill="1" applyBorder="1" applyAlignment="1"/>
    <xf numFmtId="164" fontId="111" fillId="0" borderId="0" xfId="0" applyNumberFormat="1" applyFont="1" applyFill="1" applyBorder="1" applyAlignment="1"/>
    <xf numFmtId="164" fontId="0" fillId="0" borderId="0" xfId="0" applyFont="1" applyBorder="1" applyAlignment="1">
      <alignment horizontal="center"/>
    </xf>
    <xf numFmtId="166" fontId="72" fillId="0" borderId="0" xfId="0" applyNumberFormat="1" applyFont="1" applyFill="1" applyBorder="1" applyAlignment="1">
      <alignment horizontal="center"/>
    </xf>
    <xf numFmtId="166" fontId="112" fillId="0" borderId="0" xfId="0" applyNumberFormat="1" applyFont="1" applyFill="1" applyBorder="1" applyAlignment="1">
      <alignment horizontal="center"/>
    </xf>
    <xf numFmtId="17" fontId="72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4" fontId="0" fillId="0" borderId="0" xfId="0" applyFont="1" applyFill="1" applyBorder="1" applyAlignment="1">
      <alignment horizontal="center"/>
    </xf>
    <xf numFmtId="17" fontId="73" fillId="0" borderId="0" xfId="0" applyNumberFormat="1" applyFont="1" applyFill="1" applyBorder="1" applyAlignment="1">
      <alignment horizontal="center" wrapText="1"/>
    </xf>
    <xf numFmtId="166" fontId="113" fillId="0" borderId="0" xfId="0" applyNumberFormat="1" applyFont="1" applyFill="1" applyBorder="1" applyAlignment="1">
      <alignment horizontal="center"/>
    </xf>
    <xf numFmtId="164" fontId="12" fillId="0" borderId="0" xfId="20">
      <alignment horizontal="left" wrapText="1"/>
    </xf>
    <xf numFmtId="166" fontId="75" fillId="27" borderId="57" xfId="20" applyNumberFormat="1" applyFont="1" applyFill="1" applyBorder="1" applyAlignment="1"/>
    <xf numFmtId="166" fontId="75" fillId="27" borderId="44" xfId="20" applyNumberFormat="1" applyFont="1" applyFill="1" applyBorder="1" applyAlignment="1"/>
    <xf numFmtId="0" fontId="91" fillId="27" borderId="55" xfId="20" applyNumberFormat="1" applyFont="1" applyFill="1" applyBorder="1" applyAlignment="1">
      <alignment horizontal="left"/>
    </xf>
    <xf numFmtId="164" fontId="89" fillId="27" borderId="34" xfId="20" applyFont="1" applyFill="1" applyBorder="1" applyAlignment="1">
      <alignment horizontal="left"/>
    </xf>
    <xf numFmtId="166" fontId="72" fillId="27" borderId="8" xfId="20" applyNumberFormat="1" applyFont="1" applyFill="1" applyBorder="1" applyAlignment="1"/>
    <xf numFmtId="166" fontId="12" fillId="27" borderId="7" xfId="20" applyNumberFormat="1" applyFont="1" applyFill="1" applyBorder="1" applyAlignment="1"/>
    <xf numFmtId="166" fontId="36" fillId="27" borderId="33" xfId="20" applyNumberFormat="1" applyFont="1" applyFill="1" applyBorder="1" applyAlignment="1"/>
    <xf numFmtId="0" fontId="91" fillId="27" borderId="0" xfId="20" applyNumberFormat="1" applyFont="1" applyFill="1" applyBorder="1" applyAlignment="1"/>
    <xf numFmtId="0" fontId="90" fillId="27" borderId="33" xfId="20" applyNumberFormat="1" applyFont="1" applyFill="1" applyBorder="1" applyAlignment="1">
      <alignment horizontal="left"/>
    </xf>
    <xf numFmtId="42" fontId="68" fillId="27" borderId="54" xfId="20" applyNumberFormat="1" applyFont="1" applyFill="1" applyBorder="1" applyAlignment="1"/>
    <xf numFmtId="42" fontId="21" fillId="27" borderId="56" xfId="20" applyNumberFormat="1" applyFont="1" applyFill="1" applyBorder="1" applyAlignment="1"/>
    <xf numFmtId="42" fontId="37" fillId="27" borderId="66" xfId="20" applyNumberFormat="1" applyFont="1" applyFill="1" applyBorder="1" applyAlignment="1"/>
    <xf numFmtId="0" fontId="92" fillId="27" borderId="50" xfId="20" applyNumberFormat="1" applyFont="1" applyFill="1" applyBorder="1" applyAlignment="1"/>
    <xf numFmtId="42" fontId="75" fillId="27" borderId="8" xfId="20" applyNumberFormat="1" applyFont="1" applyFill="1" applyBorder="1" applyAlignment="1"/>
    <xf numFmtId="42" fontId="75" fillId="27" borderId="7" xfId="20" applyNumberFormat="1" applyFont="1" applyFill="1" applyBorder="1" applyAlignment="1"/>
    <xf numFmtId="42" fontId="88" fillId="27" borderId="33" xfId="20" applyNumberFormat="1" applyFont="1" applyFill="1" applyBorder="1" applyAlignment="1"/>
    <xf numFmtId="1" fontId="89" fillId="27" borderId="33" xfId="20" applyNumberFormat="1" applyFont="1" applyFill="1" applyBorder="1" applyAlignment="1">
      <alignment horizontal="left"/>
    </xf>
    <xf numFmtId="164" fontId="89" fillId="27" borderId="33" xfId="20" applyFont="1" applyFill="1" applyBorder="1" applyAlignment="1">
      <alignment horizontal="left"/>
    </xf>
    <xf numFmtId="0" fontId="91" fillId="27" borderId="52" xfId="20" applyNumberFormat="1" applyFont="1" applyFill="1" applyBorder="1" applyAlignment="1"/>
    <xf numFmtId="164" fontId="29" fillId="27" borderId="57" xfId="20" applyFont="1" applyFill="1" applyBorder="1" applyAlignment="1">
      <alignment horizontal="center" wrapText="1"/>
    </xf>
    <xf numFmtId="164" fontId="29" fillId="27" borderId="44" xfId="20" applyFont="1" applyFill="1" applyBorder="1" applyAlignment="1">
      <alignment horizontal="center" wrapText="1"/>
    </xf>
    <xf numFmtId="164" fontId="37" fillId="27" borderId="51" xfId="20" applyFont="1" applyFill="1" applyBorder="1" applyAlignment="1">
      <alignment horizontal="center" wrapText="1"/>
    </xf>
    <xf numFmtId="0" fontId="89" fillId="27" borderId="52" xfId="20" applyNumberFormat="1" applyFont="1" applyFill="1" applyBorder="1" applyAlignment="1">
      <alignment horizontal="center"/>
    </xf>
    <xf numFmtId="0" fontId="89" fillId="27" borderId="51" xfId="20" applyNumberFormat="1" applyFont="1" applyFill="1" applyBorder="1" applyAlignment="1">
      <alignment horizontal="left"/>
    </xf>
    <xf numFmtId="0" fontId="118" fillId="0" borderId="0" xfId="20" applyNumberFormat="1" applyFont="1" applyFill="1" applyBorder="1" applyAlignment="1">
      <alignment horizontal="center"/>
    </xf>
    <xf numFmtId="0" fontId="74" fillId="0" borderId="0" xfId="20" applyNumberFormat="1" applyFont="1" applyFill="1" applyBorder="1" applyAlignment="1"/>
    <xf numFmtId="0" fontId="73" fillId="0" borderId="0" xfId="20" applyNumberFormat="1" applyFont="1" applyFill="1" applyBorder="1" applyAlignment="1"/>
    <xf numFmtId="0" fontId="118" fillId="0" borderId="0" xfId="20" applyNumberFormat="1" applyFont="1" applyFill="1" applyBorder="1" applyAlignment="1">
      <alignment horizontal="left"/>
    </xf>
    <xf numFmtId="166" fontId="59" fillId="0" borderId="0" xfId="2" applyNumberFormat="1" applyFont="1" applyAlignment="1"/>
    <xf numFmtId="42" fontId="74" fillId="0" borderId="0" xfId="20" applyNumberFormat="1" applyFont="1" applyFill="1" applyBorder="1" applyAlignment="1"/>
    <xf numFmtId="44" fontId="74" fillId="0" borderId="0" xfId="20" applyNumberFormat="1" applyFont="1" applyFill="1" applyBorder="1" applyAlignment="1"/>
    <xf numFmtId="164" fontId="12" fillId="0" borderId="0" xfId="20" applyFont="1" applyBorder="1" applyAlignment="1"/>
    <xf numFmtId="0" fontId="72" fillId="0" borderId="0" xfId="20" applyNumberFormat="1" applyFont="1" applyFill="1" applyBorder="1" applyAlignment="1">
      <alignment horizontal="left"/>
    </xf>
    <xf numFmtId="166" fontId="12" fillId="0" borderId="0" xfId="20" applyNumberFormat="1" applyFont="1" applyAlignment="1">
      <alignment horizontal="left" wrapText="1"/>
    </xf>
    <xf numFmtId="180" fontId="74" fillId="0" borderId="0" xfId="20" applyNumberFormat="1" applyFont="1" applyFill="1" applyBorder="1" applyAlignment="1"/>
    <xf numFmtId="0" fontId="72" fillId="0" borderId="0" xfId="20" applyNumberFormat="1" applyFont="1" applyFill="1" applyBorder="1" applyAlignment="1"/>
    <xf numFmtId="169" fontId="12" fillId="0" borderId="0" xfId="20" applyNumberFormat="1" applyAlignment="1">
      <alignment horizontal="right" wrapText="1"/>
    </xf>
    <xf numFmtId="43" fontId="12" fillId="0" borderId="0" xfId="20" applyNumberFormat="1" applyFont="1" applyAlignment="1">
      <alignment horizontal="center"/>
    </xf>
    <xf numFmtId="180" fontId="12" fillId="0" borderId="0" xfId="20" applyNumberFormat="1" applyFont="1" applyAlignment="1">
      <alignment horizontal="center"/>
    </xf>
    <xf numFmtId="164" fontId="12" fillId="0" borderId="0" xfId="20" applyFont="1" applyAlignment="1"/>
    <xf numFmtId="166" fontId="75" fillId="0" borderId="57" xfId="20" applyNumberFormat="1" applyFont="1" applyFill="1" applyBorder="1" applyAlignment="1"/>
    <xf numFmtId="166" fontId="75" fillId="0" borderId="44" xfId="20" applyNumberFormat="1" applyFont="1" applyBorder="1" applyAlignment="1"/>
    <xf numFmtId="0" fontId="91" fillId="0" borderId="55" xfId="20" applyNumberFormat="1" applyFont="1" applyFill="1" applyBorder="1" applyAlignment="1">
      <alignment horizontal="left"/>
    </xf>
    <xf numFmtId="164" fontId="89" fillId="0" borderId="34" xfId="20" applyFont="1" applyFill="1" applyBorder="1" applyAlignment="1">
      <alignment horizontal="left"/>
    </xf>
    <xf numFmtId="166" fontId="57" fillId="0" borderId="0" xfId="2" applyNumberFormat="1" applyFont="1" applyAlignment="1">
      <alignment horizontal="left" wrapText="1"/>
    </xf>
    <xf numFmtId="166" fontId="72" fillId="0" borderId="8" xfId="20" applyNumberFormat="1" applyFont="1" applyBorder="1" applyAlignment="1"/>
    <xf numFmtId="166" fontId="12" fillId="0" borderId="7" xfId="20" applyNumberFormat="1" applyFont="1" applyBorder="1" applyAlignment="1"/>
    <xf numFmtId="166" fontId="36" fillId="0" borderId="33" xfId="20" applyNumberFormat="1" applyFont="1" applyBorder="1" applyAlignment="1"/>
    <xf numFmtId="0" fontId="91" fillId="0" borderId="0" xfId="20" applyNumberFormat="1" applyFont="1" applyFill="1" applyBorder="1" applyAlignment="1"/>
    <xf numFmtId="0" fontId="90" fillId="0" borderId="33" xfId="20" applyNumberFormat="1" applyFont="1" applyFill="1" applyBorder="1" applyAlignment="1">
      <alignment horizontal="left"/>
    </xf>
    <xf numFmtId="42" fontId="68" fillId="0" borderId="54" xfId="20" applyNumberFormat="1" applyFont="1" applyBorder="1" applyAlignment="1"/>
    <xf numFmtId="42" fontId="21" fillId="0" borderId="56" xfId="20" applyNumberFormat="1" applyFont="1" applyBorder="1" applyAlignment="1"/>
    <xf numFmtId="42" fontId="37" fillId="0" borderId="66" xfId="20" applyNumberFormat="1" applyFont="1" applyBorder="1" applyAlignment="1"/>
    <xf numFmtId="0" fontId="92" fillId="0" borderId="50" xfId="20" applyNumberFormat="1" applyFont="1" applyFill="1" applyBorder="1" applyAlignment="1"/>
    <xf numFmtId="164" fontId="12" fillId="0" borderId="0" xfId="20" applyAlignment="1">
      <alignment horizontal="left"/>
    </xf>
    <xf numFmtId="42" fontId="75" fillId="0" borderId="8" xfId="20" applyNumberFormat="1" applyFont="1" applyBorder="1" applyAlignment="1"/>
    <xf numFmtId="42" fontId="75" fillId="0" borderId="7" xfId="20" applyNumberFormat="1" applyFont="1" applyBorder="1" applyAlignment="1"/>
    <xf numFmtId="42" fontId="88" fillId="0" borderId="33" xfId="20" applyNumberFormat="1" applyFont="1" applyBorder="1" applyAlignment="1"/>
    <xf numFmtId="165" fontId="0" fillId="0" borderId="0" xfId="21" applyNumberFormat="1" applyFont="1" applyAlignment="1">
      <alignment horizontal="left" wrapText="1"/>
    </xf>
    <xf numFmtId="1" fontId="89" fillId="0" borderId="33" xfId="20" applyNumberFormat="1" applyFont="1" applyFill="1" applyBorder="1" applyAlignment="1">
      <alignment horizontal="left"/>
    </xf>
    <xf numFmtId="169" fontId="12" fillId="0" borderId="0" xfId="20" applyNumberFormat="1" applyAlignment="1">
      <alignment horizontal="center" wrapText="1"/>
    </xf>
    <xf numFmtId="169" fontId="12" fillId="3" borderId="0" xfId="20" applyNumberFormat="1" applyFill="1" applyAlignment="1">
      <alignment horizontal="center" wrapText="1"/>
    </xf>
    <xf numFmtId="42" fontId="75" fillId="3" borderId="7" xfId="20" applyNumberFormat="1" applyFont="1" applyFill="1" applyBorder="1" applyAlignment="1"/>
    <xf numFmtId="164" fontId="57" fillId="0" borderId="0" xfId="20" applyFont="1" applyAlignment="1">
      <alignment horizontal="center"/>
    </xf>
    <xf numFmtId="164" fontId="89" fillId="0" borderId="33" xfId="20" applyFont="1" applyFill="1" applyBorder="1" applyAlignment="1">
      <alignment horizontal="left"/>
    </xf>
    <xf numFmtId="1" fontId="12" fillId="0" borderId="0" xfId="20" applyNumberFormat="1" applyAlignment="1">
      <alignment horizontal="center"/>
    </xf>
    <xf numFmtId="164" fontId="57" fillId="0" borderId="0" xfId="20" applyFont="1" applyAlignment="1">
      <alignment horizontal="left"/>
    </xf>
    <xf numFmtId="164" fontId="29" fillId="0" borderId="0" xfId="20" applyFont="1" applyFill="1" applyBorder="1" applyAlignment="1">
      <alignment horizontal="left"/>
    </xf>
    <xf numFmtId="0" fontId="91" fillId="0" borderId="52" xfId="20" applyNumberFormat="1" applyFont="1" applyFill="1" applyBorder="1" applyAlignment="1"/>
    <xf numFmtId="164" fontId="29" fillId="0" borderId="57" xfId="20" applyFont="1" applyFill="1" applyBorder="1" applyAlignment="1">
      <alignment horizontal="center" wrapText="1"/>
    </xf>
    <xf numFmtId="164" fontId="29" fillId="0" borderId="44" xfId="20" applyFont="1" applyFill="1" applyBorder="1" applyAlignment="1">
      <alignment horizontal="center" wrapText="1"/>
    </xf>
    <xf numFmtId="164" fontId="37" fillId="0" borderId="51" xfId="20" applyFont="1" applyFill="1" applyBorder="1" applyAlignment="1">
      <alignment horizontal="center" wrapText="1"/>
    </xf>
    <xf numFmtId="0" fontId="89" fillId="0" borderId="52" xfId="20" applyNumberFormat="1" applyFont="1" applyBorder="1" applyAlignment="1">
      <alignment horizontal="center"/>
    </xf>
    <xf numFmtId="0" fontId="89" fillId="0" borderId="51" xfId="20" applyNumberFormat="1" applyFont="1" applyBorder="1" applyAlignment="1">
      <alignment horizontal="left"/>
    </xf>
    <xf numFmtId="0" fontId="75" fillId="0" borderId="0" xfId="20" applyNumberFormat="1" applyFont="1" applyBorder="1" applyAlignment="1">
      <alignment horizontal="center"/>
    </xf>
    <xf numFmtId="164" fontId="12" fillId="0" borderId="0" xfId="20" applyFont="1" applyAlignment="1">
      <alignment horizontal="centerContinuous"/>
    </xf>
    <xf numFmtId="0" fontId="86" fillId="0" borderId="0" xfId="20" applyNumberFormat="1" applyFont="1" applyAlignment="1">
      <alignment horizontal="center"/>
    </xf>
    <xf numFmtId="164" fontId="12" fillId="0" borderId="0" xfId="20" applyFont="1" applyFill="1" applyAlignment="1">
      <alignment horizontal="centerContinuous"/>
    </xf>
    <xf numFmtId="164" fontId="87" fillId="0" borderId="0" xfId="20" applyFont="1" applyFill="1" applyAlignment="1">
      <alignment horizontal="left"/>
    </xf>
    <xf numFmtId="164" fontId="34" fillId="0" borderId="0" xfId="20" applyFont="1" applyAlignment="1"/>
    <xf numFmtId="164" fontId="86" fillId="0" borderId="0" xfId="20" applyFont="1" applyAlignment="1">
      <alignment horizontal="left"/>
    </xf>
    <xf numFmtId="1" fontId="75" fillId="0" borderId="33" xfId="0" applyNumberFormat="1" applyFont="1" applyFill="1" applyBorder="1" applyAlignment="1">
      <alignment horizontal="left"/>
    </xf>
    <xf numFmtId="164" fontId="59" fillId="0" borderId="0" xfId="0" applyFont="1">
      <alignment horizontal="left" wrapText="1"/>
    </xf>
    <xf numFmtId="166" fontId="104" fillId="17" borderId="0" xfId="0" applyNumberFormat="1" applyFont="1" applyFill="1" applyBorder="1" applyAlignment="1">
      <alignment horizontal="left"/>
    </xf>
    <xf numFmtId="166" fontId="59" fillId="0" borderId="0" xfId="8" applyNumberFormat="1" applyFont="1" applyAlignment="1">
      <alignment horizontal="left" wrapText="1"/>
    </xf>
    <xf numFmtId="43" fontId="35" fillId="29" borderId="51" xfId="11" applyNumberFormat="1" applyFont="1" applyBorder="1" applyAlignment="1">
      <alignment horizontal="center" vertical="top" wrapText="1"/>
    </xf>
    <xf numFmtId="43" fontId="35" fillId="29" borderId="3" xfId="11" applyNumberFormat="1" applyFont="1" applyBorder="1" applyAlignment="1">
      <alignment horizontal="center" vertical="top" wrapText="1"/>
    </xf>
    <xf numFmtId="43" fontId="35" fillId="29" borderId="57" xfId="11" applyNumberFormat="1" applyFont="1" applyBorder="1" applyAlignment="1">
      <alignment horizontal="center" vertical="top" wrapText="1"/>
    </xf>
    <xf numFmtId="0" fontId="13" fillId="24" borderId="67" xfId="0" applyNumberFormat="1" applyFont="1" applyFill="1" applyBorder="1" applyAlignment="1">
      <alignment horizontal="center" wrapText="1"/>
    </xf>
    <xf numFmtId="0" fontId="13" fillId="24" borderId="45" xfId="0" applyNumberFormat="1" applyFont="1" applyFill="1" applyBorder="1" applyAlignment="1">
      <alignment horizontal="center" wrapText="1"/>
    </xf>
    <xf numFmtId="164" fontId="0" fillId="10" borderId="0" xfId="0" applyFill="1" applyAlignment="1">
      <alignment horizontal="left" wrapText="1"/>
    </xf>
    <xf numFmtId="164" fontId="68" fillId="0" borderId="35" xfId="0" applyFont="1" applyBorder="1" applyAlignment="1">
      <alignment horizontal="center"/>
    </xf>
    <xf numFmtId="164" fontId="68" fillId="0" borderId="36" xfId="0" applyFont="1" applyBorder="1" applyAlignment="1">
      <alignment horizontal="center"/>
    </xf>
    <xf numFmtId="164" fontId="68" fillId="0" borderId="37" xfId="0" applyFont="1" applyBorder="1" applyAlignment="1">
      <alignment horizontal="center"/>
    </xf>
    <xf numFmtId="1" fontId="13" fillId="0" borderId="35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3" fillId="0" borderId="37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12" fillId="0" borderId="0" xfId="0" applyNumberFormat="1" applyFont="1" applyAlignment="1">
      <alignment wrapText="1"/>
    </xf>
    <xf numFmtId="164" fontId="12" fillId="0" borderId="0" xfId="0" applyFont="1" applyAlignment="1">
      <alignment wrapText="1"/>
    </xf>
    <xf numFmtId="164" fontId="12" fillId="0" borderId="0" xfId="0" applyFont="1" applyAlignment="1">
      <alignment horizontal="left" wrapText="1"/>
    </xf>
    <xf numFmtId="164" fontId="122" fillId="0" borderId="0" xfId="0" applyFont="1" applyFill="1" applyAlignment="1"/>
    <xf numFmtId="170" fontId="123" fillId="0" borderId="0" xfId="0" applyNumberFormat="1" applyFont="1" applyFill="1" applyAlignment="1">
      <alignment horizontal="center"/>
    </xf>
    <xf numFmtId="170" fontId="42" fillId="5" borderId="0" xfId="0" applyNumberFormat="1" applyFont="1" applyFill="1" applyAlignment="1">
      <alignment horizontal="left"/>
    </xf>
    <xf numFmtId="170" fontId="42" fillId="5" borderId="0" xfId="0" applyNumberFormat="1" applyFont="1" applyFill="1" applyAlignment="1">
      <alignment horizontal="center"/>
    </xf>
    <xf numFmtId="164" fontId="0" fillId="5" borderId="0" xfId="0" applyFill="1">
      <alignment horizontal="left" wrapText="1"/>
    </xf>
    <xf numFmtId="166" fontId="42" fillId="5" borderId="0" xfId="0" applyNumberFormat="1" applyFont="1" applyFill="1" applyAlignment="1">
      <alignment horizontal="left"/>
    </xf>
    <xf numFmtId="170" fontId="43" fillId="5" borderId="0" xfId="0" applyNumberFormat="1" applyFont="1" applyFill="1" applyBorder="1" applyAlignment="1">
      <alignment horizontal="left"/>
    </xf>
    <xf numFmtId="166" fontId="42" fillId="5" borderId="0" xfId="0" applyNumberFormat="1" applyFont="1" applyFill="1" applyAlignment="1">
      <alignment horizontal="center"/>
    </xf>
    <xf numFmtId="170" fontId="42" fillId="5" borderId="0" xfId="0" applyNumberFormat="1" applyFont="1" applyFill="1" applyBorder="1" applyAlignment="1">
      <alignment horizontal="left"/>
    </xf>
    <xf numFmtId="166" fontId="42" fillId="5" borderId="3" xfId="0" applyNumberFormat="1" applyFont="1" applyFill="1" applyBorder="1" applyAlignment="1">
      <alignment horizontal="left"/>
    </xf>
    <xf numFmtId="170" fontId="42" fillId="5" borderId="0" xfId="0" applyNumberFormat="1" applyFont="1" applyFill="1" applyBorder="1" applyAlignment="1">
      <alignment horizontal="right"/>
    </xf>
    <xf numFmtId="170" fontId="105" fillId="5" borderId="0" xfId="0" applyNumberFormat="1" applyFont="1" applyFill="1" applyBorder="1" applyAlignment="1">
      <alignment horizontal="right"/>
    </xf>
    <xf numFmtId="166" fontId="104" fillId="5" borderId="0" xfId="0" applyNumberFormat="1" applyFont="1" applyFill="1" applyAlignment="1">
      <alignment horizontal="left"/>
    </xf>
    <xf numFmtId="170" fontId="42" fillId="5" borderId="0" xfId="0" applyNumberFormat="1" applyFont="1" applyFill="1" applyBorder="1" applyAlignment="1"/>
    <xf numFmtId="166" fontId="42" fillId="5" borderId="4" xfId="0" applyNumberFormat="1" applyFont="1" applyFill="1" applyBorder="1" applyAlignment="1">
      <alignment horizontal="left"/>
    </xf>
    <xf numFmtId="0" fontId="68" fillId="5" borderId="51" xfId="0" applyNumberFormat="1" applyFont="1" applyFill="1" applyBorder="1" applyAlignment="1">
      <alignment horizontal="left"/>
    </xf>
    <xf numFmtId="0" fontId="68" fillId="5" borderId="52" xfId="0" applyNumberFormat="1" applyFont="1" applyFill="1" applyBorder="1" applyAlignment="1">
      <alignment horizontal="center"/>
    </xf>
    <xf numFmtId="164" fontId="21" fillId="5" borderId="44" xfId="0" applyFont="1" applyFill="1" applyBorder="1" applyAlignment="1">
      <alignment horizontal="center" wrapText="1"/>
    </xf>
    <xf numFmtId="164" fontId="21" fillId="5" borderId="57" xfId="0" applyFont="1" applyFill="1" applyBorder="1" applyAlignment="1">
      <alignment horizontal="center" wrapText="1"/>
    </xf>
    <xf numFmtId="0" fontId="75" fillId="5" borderId="0" xfId="0" applyNumberFormat="1" applyFont="1" applyFill="1" applyBorder="1" applyAlignment="1">
      <alignment horizontal="center"/>
    </xf>
    <xf numFmtId="0" fontId="91" fillId="5" borderId="33" xfId="0" applyNumberFormat="1" applyFont="1" applyFill="1" applyBorder="1" applyAlignment="1">
      <alignment horizontal="left"/>
    </xf>
    <xf numFmtId="0" fontId="91" fillId="5" borderId="52" xfId="0" applyNumberFormat="1" applyFont="1" applyFill="1" applyBorder="1" applyAlignment="1"/>
    <xf numFmtId="5" fontId="75" fillId="5" borderId="33" xfId="0" applyNumberFormat="1" applyFont="1" applyFill="1" applyBorder="1" applyAlignment="1"/>
    <xf numFmtId="5" fontId="75" fillId="5" borderId="8" xfId="0" applyNumberFormat="1" applyFont="1" applyFill="1" applyBorder="1" applyAlignment="1"/>
    <xf numFmtId="5" fontId="91" fillId="5" borderId="0" xfId="0" applyNumberFormat="1" applyFont="1" applyFill="1" applyBorder="1" applyAlignment="1"/>
    <xf numFmtId="5" fontId="75" fillId="5" borderId="7" xfId="0" applyNumberFormat="1" applyFont="1" applyFill="1" applyBorder="1" applyAlignment="1"/>
    <xf numFmtId="0" fontId="91" fillId="5" borderId="0" xfId="0" applyNumberFormat="1" applyFont="1" applyFill="1" applyBorder="1" applyAlignment="1"/>
    <xf numFmtId="164" fontId="75" fillId="5" borderId="33" xfId="0" applyFont="1" applyFill="1" applyBorder="1" applyAlignment="1">
      <alignment horizontal="left"/>
    </xf>
    <xf numFmtId="1" fontId="75" fillId="5" borderId="33" xfId="0" applyNumberFormat="1" applyFont="1" applyFill="1" applyBorder="1" applyAlignment="1">
      <alignment horizontal="left"/>
    </xf>
    <xf numFmtId="0" fontId="91" fillId="5" borderId="34" xfId="0" applyNumberFormat="1" applyFont="1" applyFill="1" applyBorder="1" applyAlignment="1">
      <alignment horizontal="left"/>
    </xf>
    <xf numFmtId="0" fontId="92" fillId="5" borderId="73" xfId="0" applyNumberFormat="1" applyFont="1" applyFill="1" applyBorder="1" applyAlignment="1"/>
    <xf numFmtId="5" fontId="21" fillId="5" borderId="66" xfId="0" applyNumberFormat="1" applyFont="1" applyFill="1" applyBorder="1" applyAlignment="1"/>
    <xf numFmtId="5" fontId="21" fillId="5" borderId="56" xfId="0" applyNumberFormat="1" applyFont="1" applyFill="1" applyBorder="1" applyAlignment="1"/>
    <xf numFmtId="5" fontId="92" fillId="5" borderId="0" xfId="0" applyNumberFormat="1" applyFont="1" applyFill="1" applyBorder="1" applyAlignment="1"/>
    <xf numFmtId="5" fontId="68" fillId="5" borderId="56" xfId="0" applyNumberFormat="1" applyFont="1" applyFill="1" applyBorder="1" applyAlignment="1"/>
    <xf numFmtId="0" fontId="120" fillId="5" borderId="0" xfId="12" applyFont="1" applyFill="1"/>
    <xf numFmtId="182" fontId="120" fillId="5" borderId="0" xfId="12" applyNumberFormat="1" applyFont="1" applyFill="1" applyBorder="1"/>
    <xf numFmtId="166" fontId="75" fillId="5" borderId="0" xfId="0" applyNumberFormat="1" applyFont="1" applyFill="1" applyBorder="1" applyAlignment="1"/>
    <xf numFmtId="164" fontId="75" fillId="5" borderId="51" xfId="0" applyFont="1" applyFill="1" applyBorder="1" applyAlignment="1">
      <alignment horizontal="left"/>
    </xf>
    <xf numFmtId="0" fontId="91" fillId="5" borderId="57" xfId="0" applyNumberFormat="1" applyFont="1" applyFill="1" applyBorder="1" applyAlignment="1">
      <alignment horizontal="left"/>
    </xf>
    <xf numFmtId="166" fontId="75" fillId="5" borderId="44" xfId="8" applyNumberFormat="1" applyFont="1" applyFill="1" applyBorder="1"/>
    <xf numFmtId="166" fontId="75" fillId="5" borderId="57" xfId="0" applyNumberFormat="1" applyFont="1" applyFill="1" applyBorder="1" applyAlignment="1"/>
    <xf numFmtId="164" fontId="0" fillId="5" borderId="0" xfId="0" applyFont="1" applyFill="1" applyBorder="1" applyAlignment="1"/>
    <xf numFmtId="166" fontId="75" fillId="5" borderId="44" xfId="0" applyNumberFormat="1" applyFont="1" applyFill="1" applyBorder="1" applyAlignment="1"/>
    <xf numFmtId="164" fontId="75" fillId="5" borderId="34" xfId="0" applyFont="1" applyFill="1" applyBorder="1" applyAlignment="1">
      <alignment horizontal="left"/>
    </xf>
    <xf numFmtId="0" fontId="91" fillId="5" borderId="55" xfId="0" applyNumberFormat="1" applyFont="1" applyFill="1" applyBorder="1" applyAlignment="1">
      <alignment horizontal="left"/>
    </xf>
    <xf numFmtId="184" fontId="75" fillId="5" borderId="44" xfId="8" applyNumberFormat="1" applyFont="1" applyFill="1" applyBorder="1"/>
    <xf numFmtId="184" fontId="75" fillId="5" borderId="57" xfId="0" applyNumberFormat="1" applyFont="1" applyFill="1" applyBorder="1" applyAlignment="1"/>
    <xf numFmtId="184" fontId="75" fillId="5" borderId="44" xfId="0" applyNumberFormat="1" applyFont="1" applyFill="1" applyBorder="1" applyAlignment="1"/>
    <xf numFmtId="0" fontId="42" fillId="5" borderId="0" xfId="0" applyNumberFormat="1" applyFont="1" applyFill="1" applyBorder="1" applyAlignment="1">
      <alignment horizontal="left"/>
    </xf>
    <xf numFmtId="174" fontId="42" fillId="5" borderId="0" xfId="0" quotePrefix="1" applyNumberFormat="1" applyFont="1" applyFill="1" applyBorder="1" applyAlignment="1">
      <alignment horizontal="left"/>
    </xf>
    <xf numFmtId="42" fontId="47" fillId="5" borderId="0" xfId="0" applyNumberFormat="1" applyFont="1" applyFill="1" applyBorder="1" applyAlignment="1"/>
    <xf numFmtId="164" fontId="47" fillId="5" borderId="0" xfId="0" applyFont="1" applyFill="1" applyAlignment="1">
      <alignment horizontal="left" wrapText="1"/>
    </xf>
    <xf numFmtId="164" fontId="42" fillId="5" borderId="0" xfId="0" applyFont="1" applyFill="1" applyAlignment="1">
      <alignment horizontal="left" wrapText="1"/>
    </xf>
    <xf numFmtId="42" fontId="42" fillId="5" borderId="0" xfId="0" applyNumberFormat="1" applyFont="1" applyFill="1" applyAlignment="1">
      <alignment horizontal="left" wrapText="1"/>
    </xf>
    <xf numFmtId="164" fontId="42" fillId="5" borderId="0" xfId="0" applyFont="1" applyFill="1" applyAlignment="1"/>
    <xf numFmtId="166" fontId="42" fillId="5" borderId="0" xfId="0" applyNumberFormat="1" applyFont="1" applyFill="1" applyAlignment="1">
      <alignment horizontal="left" wrapText="1"/>
    </xf>
    <xf numFmtId="164" fontId="42" fillId="5" borderId="0" xfId="0" applyFont="1" applyFill="1" applyBorder="1" applyAlignment="1">
      <alignment horizontal="left"/>
    </xf>
    <xf numFmtId="166" fontId="47" fillId="5" borderId="1" xfId="0" applyNumberFormat="1" applyFont="1" applyFill="1" applyBorder="1" applyAlignment="1"/>
    <xf numFmtId="166" fontId="47" fillId="5" borderId="0" xfId="0" applyNumberFormat="1" applyFont="1" applyFill="1" applyBorder="1" applyAlignment="1"/>
    <xf numFmtId="164" fontId="42" fillId="5" borderId="0" xfId="0" applyFont="1" applyFill="1" applyBorder="1" applyAlignment="1"/>
    <xf numFmtId="0" fontId="42" fillId="5" borderId="0" xfId="0" applyNumberFormat="1" applyFont="1" applyFill="1" applyBorder="1" applyAlignment="1"/>
    <xf numFmtId="164" fontId="42" fillId="5" borderId="0" xfId="0" applyNumberFormat="1" applyFont="1" applyFill="1" applyBorder="1" applyAlignment="1">
      <alignment horizontal="left"/>
    </xf>
    <xf numFmtId="43" fontId="42" fillId="5" borderId="0" xfId="0" applyNumberFormat="1" applyFont="1" applyFill="1" applyBorder="1" applyAlignment="1"/>
    <xf numFmtId="166" fontId="42" fillId="5" borderId="1" xfId="0" applyNumberFormat="1" applyFont="1" applyFill="1" applyBorder="1" applyAlignment="1"/>
    <xf numFmtId="166" fontId="42" fillId="5" borderId="0" xfId="0" applyNumberFormat="1" applyFont="1" applyFill="1" applyBorder="1" applyAlignment="1"/>
    <xf numFmtId="9" fontId="42" fillId="5" borderId="0" xfId="0" applyNumberFormat="1" applyFont="1" applyFill="1" applyBorder="1" applyAlignment="1">
      <alignment horizontal="center"/>
    </xf>
    <xf numFmtId="165" fontId="42" fillId="5" borderId="4" xfId="0" applyNumberFormat="1" applyFont="1" applyFill="1" applyBorder="1" applyAlignment="1"/>
  </cellXfs>
  <cellStyles count="22">
    <cellStyle name="Accent4" xfId="11" builtinId="41"/>
    <cellStyle name="Comma" xfId="8" builtinId="3"/>
    <cellStyle name="Comma 10 2" xfId="2"/>
    <cellStyle name="Comma 10 2 2 2" xfId="3"/>
    <cellStyle name="Comma 2" xfId="7"/>
    <cellStyle name="Comma 3" xfId="14"/>
    <cellStyle name="Comma 4" xfId="18"/>
    <cellStyle name="Currency" xfId="9" builtinId="4"/>
    <cellStyle name="Currency 2" xfId="17"/>
    <cellStyle name="Currency 3" xfId="21"/>
    <cellStyle name="Explanatory Text" xfId="12" builtinId="53"/>
    <cellStyle name="Good" xfId="10" builtinId="26"/>
    <cellStyle name="Normal" xfId="0" builtinId="0"/>
    <cellStyle name="Normal - Style1 2 2 2" xfId="1"/>
    <cellStyle name="Normal 10 10 6" xfId="6"/>
    <cellStyle name="Normal 10 10 6 2" xfId="15"/>
    <cellStyle name="Normal 10 10 6 3" xfId="19"/>
    <cellStyle name="Normal 154" xfId="4"/>
    <cellStyle name="Normal 2" xfId="5"/>
    <cellStyle name="Normal 3" xfId="13"/>
    <cellStyle name="Normal 4" xfId="16"/>
    <cellStyle name="Normal 5" xfId="2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0066"/>
      <color rgb="FFCCCC00"/>
      <color rgb="FFCCFF33"/>
      <color rgb="FFFFCC00"/>
      <color rgb="FFCCFFFF"/>
      <color rgb="FFCCCCFF"/>
      <color rgb="FF0000FF"/>
      <color rgb="FFFF00FF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25</xdr:row>
      <xdr:rowOff>85725</xdr:rowOff>
    </xdr:from>
    <xdr:ext cx="5473391" cy="44111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133850"/>
          <a:ext cx="5473391" cy="44111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39</xdr:row>
      <xdr:rowOff>57150</xdr:rowOff>
    </xdr:from>
    <xdr:to>
      <xdr:col>10</xdr:col>
      <xdr:colOff>579474</xdr:colOff>
      <xdr:row>42</xdr:row>
      <xdr:rowOff>85650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524750"/>
          <a:ext cx="12409524" cy="600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279400</xdr:colOff>
      <xdr:row>26</xdr:row>
      <xdr:rowOff>107950</xdr:rowOff>
    </xdr:from>
    <xdr:ext cx="6360908" cy="1125693"/>
    <xdr:sp macro="" textlink="">
      <xdr:nvSpPr>
        <xdr:cNvPr id="2" name="TextBox 1"/>
        <xdr:cNvSpPr txBox="1"/>
      </xdr:nvSpPr>
      <xdr:spPr>
        <a:xfrm>
          <a:off x="889000" y="4318000"/>
          <a:ext cx="6360908" cy="112569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Under Normal</a:t>
          </a:r>
          <a:r>
            <a:rPr lang="en-US" sz="1100" baseline="0"/>
            <a:t> conditions, there is less hydro -&gt; more market purchases -&gt; increase power costs.</a:t>
          </a:r>
        </a:p>
        <a:p>
          <a:r>
            <a:rPr lang="en-US" sz="1100" baseline="0"/>
            <a:t>Under Normal conditions, there is less wind -&gt; more market purchases -&gt; increase power costs.</a:t>
          </a:r>
        </a:p>
        <a:p>
          <a:r>
            <a:rPr lang="en-US" sz="1100" baseline="0"/>
            <a:t>Under Normal conditions, there is more load -&gt; more market purchases -&gt; increase power costs.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Under Normal conditions, PCA imbalance is more -&gt; PSE defers more to customers -&gt; decrease power costs.</a:t>
          </a:r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Under Actual conditons, PSE defers ($26,815,273) to customers in PCA.</a:t>
          </a:r>
          <a:endParaRPr lang="en-US" sz="1100" baseline="0"/>
        </a:p>
        <a:p>
          <a:r>
            <a:rPr lang="en-US" sz="1100" baseline="0"/>
            <a:t>Under Normal conditions, PSE defers ($39,134,312) to customers in PCA.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1289" y="5071110"/>
    <xdr:ext cx="2702719" cy="1072991"/>
    <xdr:sp macro="" textlink="">
      <xdr:nvSpPr>
        <xdr:cNvPr id="2" name="Text Box 1" hidden="1"/>
        <xdr:cNvSpPr txBox="1">
          <a:spLocks noChangeArrowheads="1"/>
        </xdr:cNvSpPr>
      </xdr:nvSpPr>
      <xdr:spPr bwMode="auto">
        <a:xfrm>
          <a:off x="6501289" y="5071110"/>
          <a:ext cx="2702719" cy="10729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absoluteAnchor>
  <xdr:absoluteAnchor>
    <xdr:pos x="7420451" y="4404360"/>
    <xdr:ext cx="30480" cy="515303"/>
    <xdr:sp macro="" textlink="">
      <xdr:nvSpPr>
        <xdr:cNvPr id="3" name="Text Box 2" hidden="1"/>
        <xdr:cNvSpPr txBox="1">
          <a:spLocks noChangeArrowheads="1"/>
        </xdr:cNvSpPr>
      </xdr:nvSpPr>
      <xdr:spPr bwMode="auto">
        <a:xfrm>
          <a:off x="7420451" y="4404360"/>
          <a:ext cx="30480" cy="5153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DM%20WP%20(C)%20Final%20power%20cost%20summary%202024%20P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ceholder(C)"/>
      <sheetName val="Book3"/>
    </sheetNames>
    <definedNames>
      <definedName name="Number_of_Payments" refersTo="#REF!"/>
      <definedName name="Values_Entered" refersTo="#REF!"/>
    </defined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ower cost summary (C)"/>
      <sheetName val="Summary by resource (C)"/>
      <sheetName val="Aurora total (C)"/>
      <sheetName val="Not in Aurora (C)"/>
      <sheetName val="WA CCA (C)"/>
      <sheetName val="DR contract benefit (C)"/>
      <sheetName val="Colstrip fixed fuel (C)"/>
      <sheetName val="EIM GHG benefits"/>
      <sheetName val="Mid C summary (C)"/>
      <sheetName val="Transmission (C)"/>
      <sheetName val="Gas storage (C)"/>
      <sheetName val="Gas MTM (C)"/>
      <sheetName val="Power hedges (C)"/>
      <sheetName val="Wind integration (C)"/>
      <sheetName val="Energy prices (C)"/>
      <sheetName val="Fixed gas transport (C)"/>
      <sheetName val=" Distillate fuel (C)"/>
      <sheetName val="Non-fuel start costs (C)"/>
      <sheetName val="Demand reponse (C)"/>
      <sheetName val="FERC 557 costs"/>
    </sheetNames>
    <sheetDataSet>
      <sheetData sheetId="0"/>
      <sheetData sheetId="1">
        <row r="63">
          <cell r="F63">
            <v>-23562.884360971628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topLeftCell="A7" zoomScale="85" zoomScaleNormal="85" workbookViewId="0">
      <pane xSplit="3" ySplit="5" topLeftCell="D12" activePane="bottomRight" state="frozen"/>
      <selection activeCell="M26" sqref="M26"/>
      <selection pane="topRight" activeCell="M26" sqref="M26"/>
      <selection pane="bottomLeft" activeCell="M26" sqref="M26"/>
      <selection pane="bottomRight" activeCell="D46" sqref="D46"/>
    </sheetView>
  </sheetViews>
  <sheetFormatPr defaultColWidth="9.140625" defaultRowHeight="12.75"/>
  <cols>
    <col min="1" max="1" width="6.28515625" style="19" bestFit="1" customWidth="1"/>
    <col min="2" max="2" width="49" style="19" bestFit="1" customWidth="1"/>
    <col min="3" max="3" width="9.28515625" style="19" bestFit="1" customWidth="1"/>
    <col min="4" max="4" width="16.7109375" style="19" bestFit="1" customWidth="1"/>
    <col min="5" max="5" width="12.28515625" style="19" bestFit="1" customWidth="1"/>
    <col min="6" max="6" width="16.140625" style="19" bestFit="1" customWidth="1"/>
    <col min="7" max="7" width="7.7109375" style="19" bestFit="1" customWidth="1"/>
    <col min="8" max="8" width="16.140625" style="19" bestFit="1" customWidth="1"/>
    <col min="9" max="9" width="6.7109375" style="19" bestFit="1" customWidth="1"/>
    <col min="10" max="10" width="15.5703125" style="19" bestFit="1" customWidth="1"/>
    <col min="11" max="11" width="16" style="19" bestFit="1" customWidth="1"/>
    <col min="12" max="12" width="17" style="19" bestFit="1" customWidth="1"/>
    <col min="13" max="13" width="15" style="19" bestFit="1" customWidth="1"/>
    <col min="14" max="14" width="16" style="19" bestFit="1" customWidth="1"/>
    <col min="15" max="15" width="15" style="19" bestFit="1" customWidth="1"/>
    <col min="16" max="16" width="14.42578125" style="19" bestFit="1" customWidth="1"/>
    <col min="17" max="17" width="1.85546875" style="19" bestFit="1" customWidth="1"/>
    <col min="18" max="16384" width="9.140625" style="19"/>
  </cols>
  <sheetData>
    <row r="1" spans="1:17">
      <c r="A1" s="418"/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7">
      <c r="A2" s="418" t="e">
        <f>Company</f>
        <v>#NAME?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7">
      <c r="A3" s="421" t="s">
        <v>560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1:17" ht="14.25">
      <c r="A4" s="423" t="e">
        <f>TestYear</f>
        <v>#NAME?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</row>
    <row r="5" spans="1:17" ht="14.25">
      <c r="A5" s="423" t="e">
        <f>RateCase</f>
        <v>#NAME?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</row>
    <row r="6" spans="1:17">
      <c r="A6" s="419"/>
      <c r="B6" s="418"/>
      <c r="C6" s="420"/>
      <c r="D6" s="424" t="s">
        <v>561</v>
      </c>
      <c r="E6" s="425"/>
      <c r="F6" s="424" t="s">
        <v>562</v>
      </c>
      <c r="G6" s="425"/>
      <c r="H6" s="424" t="s">
        <v>562</v>
      </c>
      <c r="I6" s="425"/>
      <c r="J6" s="424" t="s">
        <v>562</v>
      </c>
      <c r="K6" s="425"/>
      <c r="L6" s="424" t="s">
        <v>561</v>
      </c>
      <c r="M6" s="425"/>
      <c r="N6" s="424" t="s">
        <v>561</v>
      </c>
      <c r="O6" s="425"/>
      <c r="P6" s="424" t="s">
        <v>561</v>
      </c>
    </row>
    <row r="7" spans="1:17">
      <c r="A7" s="419"/>
      <c r="B7" s="418"/>
      <c r="C7" s="420"/>
      <c r="D7" s="426"/>
      <c r="E7" s="427"/>
      <c r="F7" s="427"/>
      <c r="G7" s="427"/>
      <c r="H7" s="428"/>
      <c r="I7" s="426"/>
      <c r="J7" s="427"/>
      <c r="K7" s="427"/>
      <c r="L7" s="427"/>
      <c r="M7" s="427"/>
      <c r="N7" s="427"/>
      <c r="O7" s="427"/>
      <c r="P7" s="428"/>
    </row>
    <row r="8" spans="1:17">
      <c r="A8" s="419"/>
      <c r="B8" s="418"/>
      <c r="C8" s="420"/>
      <c r="D8" s="429"/>
      <c r="E8" s="430"/>
      <c r="F8" s="431"/>
      <c r="G8" s="432"/>
      <c r="H8" s="433" t="s">
        <v>563</v>
      </c>
      <c r="I8" s="505">
        <v>2022</v>
      </c>
      <c r="J8" s="434" t="s">
        <v>556</v>
      </c>
      <c r="K8" s="570">
        <v>2023</v>
      </c>
      <c r="L8" s="434" t="s">
        <v>556</v>
      </c>
      <c r="M8" s="570">
        <v>2024</v>
      </c>
      <c r="N8" s="434" t="s">
        <v>556</v>
      </c>
      <c r="O8" s="570">
        <v>2025</v>
      </c>
      <c r="P8" s="435" t="s">
        <v>556</v>
      </c>
    </row>
    <row r="9" spans="1:17">
      <c r="A9" s="419"/>
      <c r="B9" s="419"/>
      <c r="C9" s="436"/>
      <c r="D9" s="437" t="s">
        <v>564</v>
      </c>
      <c r="E9" s="438"/>
      <c r="F9" s="439" t="s">
        <v>1</v>
      </c>
      <c r="G9" s="440" t="s">
        <v>655</v>
      </c>
      <c r="H9" s="435" t="s">
        <v>556</v>
      </c>
      <c r="I9" s="441" t="s">
        <v>658</v>
      </c>
      <c r="J9" s="439" t="s">
        <v>567</v>
      </c>
      <c r="K9" s="440" t="s">
        <v>568</v>
      </c>
      <c r="L9" s="439" t="s">
        <v>567</v>
      </c>
      <c r="M9" s="440" t="s">
        <v>569</v>
      </c>
      <c r="N9" s="439" t="s">
        <v>567</v>
      </c>
      <c r="O9" s="440" t="s">
        <v>570</v>
      </c>
      <c r="P9" s="435" t="s">
        <v>567</v>
      </c>
    </row>
    <row r="10" spans="1:17">
      <c r="A10" s="442" t="s">
        <v>85</v>
      </c>
      <c r="B10" s="442"/>
      <c r="C10" s="443"/>
      <c r="D10" s="437" t="s">
        <v>556</v>
      </c>
      <c r="E10" s="440" t="s">
        <v>571</v>
      </c>
      <c r="F10" s="439" t="s">
        <v>572</v>
      </c>
      <c r="G10" s="440" t="s">
        <v>656</v>
      </c>
      <c r="H10" s="435" t="s">
        <v>572</v>
      </c>
      <c r="I10" s="441" t="s">
        <v>659</v>
      </c>
      <c r="J10" s="439" t="s">
        <v>574</v>
      </c>
      <c r="K10" s="440" t="s">
        <v>573</v>
      </c>
      <c r="L10" s="439" t="s">
        <v>575</v>
      </c>
      <c r="M10" s="440" t="s">
        <v>573</v>
      </c>
      <c r="N10" s="439" t="s">
        <v>575</v>
      </c>
      <c r="O10" s="440" t="s">
        <v>573</v>
      </c>
      <c r="P10" s="435" t="s">
        <v>575</v>
      </c>
    </row>
    <row r="11" spans="1:17">
      <c r="A11" s="444" t="s">
        <v>86</v>
      </c>
      <c r="B11" s="445" t="s">
        <v>0</v>
      </c>
      <c r="C11" s="446" t="s">
        <v>350</v>
      </c>
      <c r="D11" s="447" t="s">
        <v>349</v>
      </c>
      <c r="E11" s="448" t="s">
        <v>657</v>
      </c>
      <c r="F11" s="449" t="s">
        <v>577</v>
      </c>
      <c r="G11" s="448" t="s">
        <v>657</v>
      </c>
      <c r="H11" s="450" t="s">
        <v>577</v>
      </c>
      <c r="I11" s="451" t="s">
        <v>657</v>
      </c>
      <c r="J11" s="449" t="s">
        <v>568</v>
      </c>
      <c r="K11" s="448" t="s">
        <v>576</v>
      </c>
      <c r="L11" s="449" t="s">
        <v>568</v>
      </c>
      <c r="M11" s="448" t="s">
        <v>576</v>
      </c>
      <c r="N11" s="449" t="s">
        <v>569</v>
      </c>
      <c r="O11" s="448" t="s">
        <v>576</v>
      </c>
      <c r="P11" s="450" t="s">
        <v>570</v>
      </c>
    </row>
    <row r="12" spans="1:17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</row>
    <row r="13" spans="1:17" ht="15">
      <c r="A13" s="452">
        <v>1</v>
      </c>
      <c r="B13" s="453" t="s">
        <v>578</v>
      </c>
      <c r="C13" s="453"/>
      <c r="D13" s="454"/>
      <c r="E13" s="455"/>
      <c r="F13" s="455"/>
      <c r="G13" s="456"/>
      <c r="H13" s="455"/>
      <c r="I13" s="455"/>
      <c r="J13" s="455"/>
      <c r="K13" s="455"/>
      <c r="L13" s="455"/>
      <c r="M13" s="455"/>
      <c r="N13" s="455"/>
      <c r="O13" s="455"/>
      <c r="P13" s="455"/>
    </row>
    <row r="14" spans="1:17">
      <c r="A14" s="452">
        <f t="shared" ref="A14:A36" si="0">+A13+1</f>
        <v>2</v>
      </c>
      <c r="B14" s="457" t="s">
        <v>432</v>
      </c>
      <c r="C14" s="457"/>
      <c r="D14" s="458">
        <f>+'Power Cost Bridge to A-1'!H15</f>
        <v>40481079.530000001</v>
      </c>
      <c r="E14" s="458">
        <f>+F14-D14</f>
        <v>0</v>
      </c>
      <c r="F14" s="458">
        <f>+'Power Cost Bridge to A-1'!J15</f>
        <v>40481079.530000001</v>
      </c>
      <c r="G14" s="458"/>
      <c r="H14" s="458">
        <f>SUM(F14:G14)</f>
        <v>40481079.530000001</v>
      </c>
      <c r="I14" s="458"/>
      <c r="J14" s="458">
        <f>SUM(H14:I14)</f>
        <v>40481079.530000001</v>
      </c>
      <c r="K14" s="458">
        <f>+L14-J14</f>
        <v>25209481.605987549</v>
      </c>
      <c r="L14" s="458">
        <f>+'Power Cost Bridge to A-1'!O15</f>
        <v>65690561.13598755</v>
      </c>
      <c r="M14" s="458">
        <f>+N14-L14</f>
        <v>-10158669.335987553</v>
      </c>
      <c r="N14" s="458">
        <f>+'Power Cost Bridge to A-1'!T15</f>
        <v>55531891.799999997</v>
      </c>
      <c r="O14" s="458"/>
      <c r="P14" s="458"/>
      <c r="Q14" s="19" t="s">
        <v>694</v>
      </c>
    </row>
    <row r="15" spans="1:17">
      <c r="A15" s="452">
        <f t="shared" si="0"/>
        <v>3</v>
      </c>
      <c r="B15" s="457" t="s">
        <v>433</v>
      </c>
      <c r="C15" s="419"/>
      <c r="D15" s="459">
        <f>+'Power Cost Bridge to A-1'!H16</f>
        <v>178893364.00999999</v>
      </c>
      <c r="E15" s="459">
        <f t="shared" ref="E15:E22" si="1">+F15-D15</f>
        <v>0</v>
      </c>
      <c r="F15" s="459">
        <f>+'Power Cost Bridge to A-1'!J16</f>
        <v>178893364.00999999</v>
      </c>
      <c r="G15" s="459"/>
      <c r="H15" s="459">
        <f t="shared" ref="H15:J22" si="2">SUM(F15:G15)</f>
        <v>178893364.00999999</v>
      </c>
      <c r="I15" s="459"/>
      <c r="J15" s="459">
        <f t="shared" si="2"/>
        <v>178893364.00999999</v>
      </c>
      <c r="K15" s="459">
        <f t="shared" ref="K15:M22" si="3">+L15-J15</f>
        <v>321449090.46306604</v>
      </c>
      <c r="L15" s="459">
        <f>+'Power Cost Bridge to A-1'!O16</f>
        <v>500342454.47306603</v>
      </c>
      <c r="M15" s="459">
        <f t="shared" si="3"/>
        <v>-176292307.77560771</v>
      </c>
      <c r="N15" s="459">
        <f>+'Power Cost Bridge to A-1'!T16</f>
        <v>324050146.69745833</v>
      </c>
      <c r="O15" s="459"/>
      <c r="P15" s="459"/>
      <c r="Q15" s="19" t="s">
        <v>694</v>
      </c>
    </row>
    <row r="16" spans="1:17">
      <c r="A16" s="452">
        <f t="shared" si="0"/>
        <v>4</v>
      </c>
      <c r="B16" s="457" t="s">
        <v>437</v>
      </c>
      <c r="C16" s="457"/>
      <c r="D16" s="459">
        <f>+'Power Cost Bridge to A-1'!H17</f>
        <v>621116982.74000001</v>
      </c>
      <c r="E16" s="459">
        <f t="shared" si="1"/>
        <v>15058669.787625909</v>
      </c>
      <c r="F16" s="459">
        <f>+'Power Cost Bridge to A-1'!J17</f>
        <v>636175652.52762592</v>
      </c>
      <c r="G16" s="459"/>
      <c r="H16" s="459">
        <f t="shared" si="2"/>
        <v>636175652.52762592</v>
      </c>
      <c r="I16" s="459"/>
      <c r="J16" s="459">
        <f t="shared" si="2"/>
        <v>636175652.52762592</v>
      </c>
      <c r="K16" s="459">
        <f t="shared" si="3"/>
        <v>191427731.76285553</v>
      </c>
      <c r="L16" s="459">
        <f>+'Power Cost Bridge to A-1'!O17</f>
        <v>827603384.29048145</v>
      </c>
      <c r="M16" s="459">
        <f t="shared" si="3"/>
        <v>103089762.02236819</v>
      </c>
      <c r="N16" s="459">
        <f>+'Power Cost Bridge to A-1'!T17</f>
        <v>930693146.31284964</v>
      </c>
      <c r="O16" s="459"/>
      <c r="P16" s="459"/>
      <c r="Q16" s="19" t="s">
        <v>694</v>
      </c>
    </row>
    <row r="17" spans="1:17">
      <c r="A17" s="452"/>
      <c r="B17" s="457"/>
      <c r="C17" s="457"/>
      <c r="D17" s="459">
        <f>+'Power Cost Bridge to A-1'!H18</f>
        <v>0</v>
      </c>
      <c r="E17" s="459"/>
      <c r="F17" s="459">
        <f>+'Power Cost Bridge to A-1'!J18</f>
        <v>0</v>
      </c>
      <c r="G17" s="459"/>
      <c r="H17" s="459">
        <f t="shared" si="2"/>
        <v>0</v>
      </c>
      <c r="I17" s="459"/>
      <c r="J17" s="459">
        <f t="shared" ref="J17" si="4">SUM(H17:I17)</f>
        <v>0</v>
      </c>
      <c r="K17" s="459">
        <f t="shared" ref="K17" si="5">+L17-J17</f>
        <v>0</v>
      </c>
      <c r="L17" s="459">
        <f>+'Power Cost Bridge to A-1'!O18</f>
        <v>0</v>
      </c>
      <c r="M17" s="459">
        <f t="shared" ref="M17" si="6">+N17-L17</f>
        <v>11391237.017779689</v>
      </c>
      <c r="N17" s="459">
        <f>+'Power Cost Bridge to A-1'!T18</f>
        <v>11391237.017779689</v>
      </c>
      <c r="O17" s="459"/>
      <c r="P17" s="459"/>
    </row>
    <row r="18" spans="1:17">
      <c r="A18" s="452">
        <f>+A16+1</f>
        <v>5</v>
      </c>
      <c r="B18" s="457" t="s">
        <v>438</v>
      </c>
      <c r="C18" s="457"/>
      <c r="D18" s="459">
        <f>+'Power Cost Bridge to A-1'!H19</f>
        <v>-20517923.440000001</v>
      </c>
      <c r="E18" s="459">
        <f t="shared" si="1"/>
        <v>-8852626.7315418422</v>
      </c>
      <c r="F18" s="459">
        <f>+'Power Cost Bridge to A-1'!J19</f>
        <v>-29370550.171541844</v>
      </c>
      <c r="G18" s="459"/>
      <c r="H18" s="459">
        <f t="shared" si="2"/>
        <v>-29370550.171541844</v>
      </c>
      <c r="I18" s="459"/>
      <c r="J18" s="459">
        <f t="shared" si="2"/>
        <v>-29370550.171541844</v>
      </c>
      <c r="K18" s="459">
        <f t="shared" si="3"/>
        <v>42648002.327158451</v>
      </c>
      <c r="L18" s="459">
        <f>+'Power Cost Bridge to A-1'!O19</f>
        <v>13277452.155616608</v>
      </c>
      <c r="M18" s="459">
        <f t="shared" si="3"/>
        <v>352742.72336205654</v>
      </c>
      <c r="N18" s="459">
        <f>+'Power Cost Bridge to A-1'!T19</f>
        <v>13630194.878978664</v>
      </c>
      <c r="O18" s="459"/>
      <c r="P18" s="459"/>
      <c r="Q18" s="19" t="s">
        <v>694</v>
      </c>
    </row>
    <row r="19" spans="1:17">
      <c r="A19" s="452">
        <f t="shared" si="0"/>
        <v>6</v>
      </c>
      <c r="B19" s="419" t="s">
        <v>579</v>
      </c>
      <c r="C19" s="419"/>
      <c r="D19" s="459">
        <f>+'Power Cost Bridge to A-1'!H20</f>
        <v>509160.25</v>
      </c>
      <c r="E19" s="459">
        <f t="shared" si="1"/>
        <v>0</v>
      </c>
      <c r="F19" s="459">
        <f>+'Power Cost Bridge to A-1'!J20</f>
        <v>509160.25</v>
      </c>
      <c r="G19" s="459"/>
      <c r="H19" s="459">
        <f t="shared" si="2"/>
        <v>509160.25</v>
      </c>
      <c r="I19" s="459"/>
      <c r="J19" s="459">
        <f t="shared" si="2"/>
        <v>509160.25</v>
      </c>
      <c r="K19" s="459">
        <f t="shared" si="3"/>
        <v>12219.84600000002</v>
      </c>
      <c r="L19" s="459">
        <f>+'Power Cost Bridge to A-1'!O20</f>
        <v>521380.09600000002</v>
      </c>
      <c r="M19" s="459">
        <f t="shared" si="3"/>
        <v>12513.12230399996</v>
      </c>
      <c r="N19" s="459">
        <f>+'Power Cost Bridge to A-1'!T20</f>
        <v>533893.21830399998</v>
      </c>
      <c r="O19" s="459"/>
      <c r="P19" s="459"/>
      <c r="Q19" s="19" t="s">
        <v>694</v>
      </c>
    </row>
    <row r="20" spans="1:17">
      <c r="A20" s="452">
        <f t="shared" si="0"/>
        <v>7</v>
      </c>
      <c r="B20" s="457" t="s">
        <v>440</v>
      </c>
      <c r="C20" s="457"/>
      <c r="D20" s="459">
        <f>+'Power Cost Bridge to A-1'!H21</f>
        <v>123773668.73999999</v>
      </c>
      <c r="E20" s="459">
        <f t="shared" si="1"/>
        <v>0</v>
      </c>
      <c r="F20" s="459">
        <f>+'Power Cost Bridge to A-1'!J21</f>
        <v>123773668.73999999</v>
      </c>
      <c r="G20" s="459"/>
      <c r="H20" s="459">
        <f t="shared" si="2"/>
        <v>123773668.73999999</v>
      </c>
      <c r="I20" s="459"/>
      <c r="J20" s="459">
        <f t="shared" si="2"/>
        <v>123773668.73999999</v>
      </c>
      <c r="K20" s="459">
        <f t="shared" si="3"/>
        <v>11278201.410630897</v>
      </c>
      <c r="L20" s="459">
        <f>+'Power Cost Bridge to A-1'!O21</f>
        <v>135051870.15063089</v>
      </c>
      <c r="M20" s="459">
        <f t="shared" si="3"/>
        <v>18174856.403941482</v>
      </c>
      <c r="N20" s="459">
        <f>+'Power Cost Bridge to A-1'!T21</f>
        <v>153226726.55457237</v>
      </c>
      <c r="O20" s="459"/>
      <c r="P20" s="459"/>
      <c r="Q20" s="19" t="s">
        <v>694</v>
      </c>
    </row>
    <row r="21" spans="1:17">
      <c r="A21" s="452">
        <f t="shared" si="0"/>
        <v>8</v>
      </c>
      <c r="B21" s="457" t="s">
        <v>2</v>
      </c>
      <c r="C21" s="457"/>
      <c r="D21" s="459">
        <f>+'Power Cost Bridge to A-1'!H22</f>
        <v>-175259903.59</v>
      </c>
      <c r="E21" s="459">
        <f t="shared" si="1"/>
        <v>0</v>
      </c>
      <c r="F21" s="459">
        <f>+'Power Cost Bridge to A-1'!J22</f>
        <v>-175259903.59</v>
      </c>
      <c r="G21" s="459"/>
      <c r="H21" s="459">
        <f t="shared" si="2"/>
        <v>-175259903.59</v>
      </c>
      <c r="I21" s="459"/>
      <c r="J21" s="459">
        <f t="shared" si="2"/>
        <v>-175259903.59</v>
      </c>
      <c r="K21" s="459">
        <f t="shared" si="3"/>
        <v>-306829663.81599998</v>
      </c>
      <c r="L21" s="459">
        <f>+'Power Cost Bridge to A-1'!O22</f>
        <v>-482089567.40599996</v>
      </c>
      <c r="M21" s="459">
        <f t="shared" si="3"/>
        <v>233059802.90599999</v>
      </c>
      <c r="N21" s="459">
        <f>+'Power Cost Bridge to A-1'!T22</f>
        <v>-249029764.49999997</v>
      </c>
      <c r="O21" s="459"/>
      <c r="P21" s="459"/>
      <c r="Q21" s="19" t="s">
        <v>694</v>
      </c>
    </row>
    <row r="22" spans="1:17">
      <c r="A22" s="452">
        <f t="shared" si="0"/>
        <v>9</v>
      </c>
      <c r="B22" s="457" t="s">
        <v>441</v>
      </c>
      <c r="C22" s="457"/>
      <c r="D22" s="459">
        <f>+'Power Cost Bridge to A-1'!H23</f>
        <v>-21311995.93</v>
      </c>
      <c r="E22" s="459">
        <f t="shared" si="1"/>
        <v>0</v>
      </c>
      <c r="F22" s="459">
        <f>+'Power Cost Bridge to A-1'!J23</f>
        <v>-21311995.93</v>
      </c>
      <c r="G22" s="459"/>
      <c r="H22" s="459">
        <f t="shared" si="2"/>
        <v>-21311995.93</v>
      </c>
      <c r="I22" s="459"/>
      <c r="J22" s="459">
        <f t="shared" si="2"/>
        <v>-21311995.93</v>
      </c>
      <c r="K22" s="459">
        <f t="shared" si="3"/>
        <v>-108954759.24406844</v>
      </c>
      <c r="L22" s="459">
        <f>+'Power Cost Bridge to A-1'!O23</f>
        <v>-130266755.17406844</v>
      </c>
      <c r="M22" s="459">
        <f t="shared" si="3"/>
        <v>3365397.3565045446</v>
      </c>
      <c r="N22" s="459">
        <f>+'Power Cost Bridge to A-1'!T23</f>
        <v>-126901357.81756389</v>
      </c>
      <c r="O22" s="459"/>
      <c r="P22" s="459"/>
      <c r="Q22" s="19" t="s">
        <v>694</v>
      </c>
    </row>
    <row r="23" spans="1:17" ht="15">
      <c r="A23" s="452">
        <f t="shared" si="0"/>
        <v>10</v>
      </c>
      <c r="B23" s="460" t="s">
        <v>580</v>
      </c>
      <c r="C23" s="453"/>
      <c r="D23" s="461">
        <f t="shared" ref="D23:N23" si="7">SUM(D14:D22)</f>
        <v>747684432.30999994</v>
      </c>
      <c r="E23" s="461">
        <f t="shared" si="7"/>
        <v>6206043.0560840666</v>
      </c>
      <c r="F23" s="461">
        <f t="shared" si="7"/>
        <v>753890475.3660841</v>
      </c>
      <c r="G23" s="461">
        <f t="shared" si="7"/>
        <v>0</v>
      </c>
      <c r="H23" s="461">
        <f t="shared" si="7"/>
        <v>753890475.3660841</v>
      </c>
      <c r="I23" s="461">
        <f t="shared" si="7"/>
        <v>0</v>
      </c>
      <c r="J23" s="461">
        <f t="shared" si="7"/>
        <v>753890475.3660841</v>
      </c>
      <c r="K23" s="461">
        <f t="shared" si="7"/>
        <v>176240304.3556301</v>
      </c>
      <c r="L23" s="461">
        <f t="shared" si="7"/>
        <v>930130779.72171426</v>
      </c>
      <c r="M23" s="461">
        <f t="shared" ref="M23" si="8">SUM(M14:M22)</f>
        <v>182995334.44066471</v>
      </c>
      <c r="N23" s="461">
        <f t="shared" si="7"/>
        <v>1113126114.1623788</v>
      </c>
      <c r="O23" s="461"/>
      <c r="P23" s="461"/>
      <c r="Q23" s="19" t="s">
        <v>694</v>
      </c>
    </row>
    <row r="24" spans="1:17" ht="15">
      <c r="A24" s="452">
        <f t="shared" si="0"/>
        <v>11</v>
      </c>
      <c r="B24" s="453" t="s">
        <v>581</v>
      </c>
      <c r="C24" s="453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19" t="s">
        <v>694</v>
      </c>
    </row>
    <row r="25" spans="1:17" ht="15">
      <c r="A25" s="452">
        <f t="shared" si="0"/>
        <v>12</v>
      </c>
      <c r="B25" s="453" t="s">
        <v>443</v>
      </c>
      <c r="C25" s="453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19" t="s">
        <v>694</v>
      </c>
    </row>
    <row r="26" spans="1:17">
      <c r="A26" s="452">
        <f t="shared" si="0"/>
        <v>13</v>
      </c>
      <c r="B26" s="463" t="s">
        <v>360</v>
      </c>
      <c r="C26" s="453"/>
      <c r="D26" s="459">
        <f>+'Power Cost Bridge to A-1'!H27</f>
        <v>108522830.96000001</v>
      </c>
      <c r="E26" s="459">
        <f t="shared" ref="E26:E29" si="9">+F26-D26</f>
        <v>0</v>
      </c>
      <c r="F26" s="459">
        <f>+'Power Cost Bridge to A-1'!J27</f>
        <v>108522830.96000001</v>
      </c>
      <c r="G26" s="459"/>
      <c r="H26" s="459">
        <f t="shared" ref="H26:J29" si="10">SUM(F26:G26)</f>
        <v>108522830.96000001</v>
      </c>
      <c r="I26" s="459"/>
      <c r="J26" s="459">
        <f t="shared" si="10"/>
        <v>108522830.96000001</v>
      </c>
      <c r="K26" s="459">
        <f t="shared" ref="K26:M29" si="11">+L26-J26</f>
        <v>13540601.894337162</v>
      </c>
      <c r="L26" s="459">
        <f>+'Power Cost Bridge to A-1'!O27</f>
        <v>122063432.85433717</v>
      </c>
      <c r="M26" s="459">
        <f t="shared" si="11"/>
        <v>-234683.18063247204</v>
      </c>
      <c r="N26" s="459">
        <f>+'Power Cost Bridge to A-1'!T27</f>
        <v>121828749.6737047</v>
      </c>
      <c r="O26" s="459"/>
      <c r="P26" s="459"/>
      <c r="Q26" s="19" t="s">
        <v>694</v>
      </c>
    </row>
    <row r="27" spans="1:17">
      <c r="A27" s="452">
        <f t="shared" si="0"/>
        <v>14</v>
      </c>
      <c r="B27" s="460" t="s">
        <v>582</v>
      </c>
      <c r="C27" s="453"/>
      <c r="D27" s="459">
        <f>+'Power Cost Bridge to A-1'!H28</f>
        <v>591568.35</v>
      </c>
      <c r="E27" s="459">
        <f t="shared" si="9"/>
        <v>0</v>
      </c>
      <c r="F27" s="459">
        <f>+'Power Cost Bridge to A-1'!J28</f>
        <v>591568.35</v>
      </c>
      <c r="G27" s="459"/>
      <c r="H27" s="459">
        <f t="shared" si="10"/>
        <v>591568.35</v>
      </c>
      <c r="I27" s="459"/>
      <c r="J27" s="459">
        <f t="shared" si="10"/>
        <v>591568.35</v>
      </c>
      <c r="K27" s="459">
        <f t="shared" si="11"/>
        <v>0</v>
      </c>
      <c r="L27" s="459">
        <f>+'Power Cost Bridge to A-1'!O28</f>
        <v>591568.35</v>
      </c>
      <c r="M27" s="459">
        <f t="shared" si="11"/>
        <v>0</v>
      </c>
      <c r="N27" s="459">
        <f>+'Power Cost Bridge to A-1'!T28</f>
        <v>591568.35</v>
      </c>
      <c r="O27" s="459"/>
      <c r="P27" s="459"/>
      <c r="Q27" s="19" t="s">
        <v>694</v>
      </c>
    </row>
    <row r="28" spans="1:17">
      <c r="A28" s="452">
        <f t="shared" si="0"/>
        <v>15</v>
      </c>
      <c r="B28" s="460" t="s">
        <v>583</v>
      </c>
      <c r="C28" s="453"/>
      <c r="D28" s="459">
        <f>+'Power Cost Bridge to A-1'!H29</f>
        <v>-4679929.3499999996</v>
      </c>
      <c r="E28" s="459">
        <f t="shared" si="9"/>
        <v>0</v>
      </c>
      <c r="F28" s="459">
        <f>+'Power Cost Bridge to A-1'!J29</f>
        <v>-4679929.3499999996</v>
      </c>
      <c r="G28" s="459"/>
      <c r="H28" s="459">
        <f t="shared" si="10"/>
        <v>-4679929.3499999996</v>
      </c>
      <c r="I28" s="459"/>
      <c r="J28" s="459">
        <f t="shared" si="10"/>
        <v>-4679929.3499999996</v>
      </c>
      <c r="K28" s="459">
        <f t="shared" si="11"/>
        <v>-286443.41059209127</v>
      </c>
      <c r="L28" s="459">
        <f>+'Power Cost Bridge to A-1'!O29</f>
        <v>-4966372.7605920909</v>
      </c>
      <c r="M28" s="459">
        <f t="shared" si="11"/>
        <v>-149371.90150479879</v>
      </c>
      <c r="N28" s="459">
        <f>+'Power Cost Bridge to A-1'!T29</f>
        <v>-5115744.6620968897</v>
      </c>
      <c r="O28" s="459"/>
      <c r="P28" s="459"/>
      <c r="Q28" s="19" t="s">
        <v>694</v>
      </c>
    </row>
    <row r="29" spans="1:17">
      <c r="A29" s="452">
        <f t="shared" si="0"/>
        <v>16</v>
      </c>
      <c r="B29" s="460" t="s">
        <v>584</v>
      </c>
      <c r="C29" s="453"/>
      <c r="D29" s="459">
        <f>+'Power Cost Bridge to A-1'!H30</f>
        <v>0</v>
      </c>
      <c r="E29" s="459">
        <f t="shared" si="9"/>
        <v>4094424</v>
      </c>
      <c r="F29" s="459">
        <f>+'Power Cost Bridge to A-1'!J30</f>
        <v>4094424</v>
      </c>
      <c r="G29" s="459"/>
      <c r="H29" s="459">
        <f t="shared" si="10"/>
        <v>4094424</v>
      </c>
      <c r="I29" s="459"/>
      <c r="J29" s="459">
        <f t="shared" si="10"/>
        <v>4094424</v>
      </c>
      <c r="K29" s="459">
        <f t="shared" si="11"/>
        <v>0</v>
      </c>
      <c r="L29" s="459">
        <f>+'Power Cost Bridge to A-1'!O30</f>
        <v>4094424.0000000005</v>
      </c>
      <c r="M29" s="459">
        <f t="shared" si="11"/>
        <v>11217.600000000093</v>
      </c>
      <c r="N29" s="459">
        <f>+'Power Cost Bridge to A-1'!T30</f>
        <v>4105641.6000000006</v>
      </c>
      <c r="O29" s="459"/>
      <c r="P29" s="459"/>
      <c r="Q29" s="19" t="s">
        <v>694</v>
      </c>
    </row>
    <row r="30" spans="1:17" ht="15">
      <c r="A30" s="452">
        <f t="shared" si="0"/>
        <v>17</v>
      </c>
      <c r="B30" s="460" t="s">
        <v>580</v>
      </c>
      <c r="C30" s="453"/>
      <c r="D30" s="461">
        <f t="shared" ref="D30:N30" si="12">SUM(D23:D29)</f>
        <v>852118902.26999998</v>
      </c>
      <c r="E30" s="461">
        <f t="shared" si="12"/>
        <v>10300467.056084067</v>
      </c>
      <c r="F30" s="461">
        <f t="shared" si="12"/>
        <v>862419369.32608414</v>
      </c>
      <c r="G30" s="461">
        <f t="shared" si="12"/>
        <v>0</v>
      </c>
      <c r="H30" s="461">
        <f t="shared" si="12"/>
        <v>862419369.32608414</v>
      </c>
      <c r="I30" s="461">
        <f t="shared" si="12"/>
        <v>0</v>
      </c>
      <c r="J30" s="461">
        <f t="shared" si="12"/>
        <v>862419369.32608414</v>
      </c>
      <c r="K30" s="461">
        <f t="shared" si="12"/>
        <v>189494462.8393752</v>
      </c>
      <c r="L30" s="461">
        <f t="shared" si="12"/>
        <v>1051913832.1654594</v>
      </c>
      <c r="M30" s="461">
        <f t="shared" ref="M30" si="13">SUM(M23:M29)</f>
        <v>182622496.95852745</v>
      </c>
      <c r="N30" s="461">
        <f t="shared" si="12"/>
        <v>1234536329.1239862</v>
      </c>
      <c r="O30" s="461"/>
      <c r="P30" s="461"/>
      <c r="Q30" s="19" t="s">
        <v>694</v>
      </c>
    </row>
    <row r="31" spans="1:17">
      <c r="A31" s="452">
        <f t="shared" si="0"/>
        <v>18</v>
      </c>
      <c r="B31" s="464" t="s">
        <v>581</v>
      </c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19" t="s">
        <v>694</v>
      </c>
    </row>
    <row r="32" spans="1:17">
      <c r="A32" s="452">
        <f t="shared" si="0"/>
        <v>19</v>
      </c>
      <c r="B32" s="465" t="s">
        <v>585</v>
      </c>
      <c r="C32" s="464">
        <v>3.8733999999999998E-2</v>
      </c>
      <c r="D32" s="466">
        <f>-D28*$C$32</f>
        <v>181272.38344289997</v>
      </c>
      <c r="E32" s="466">
        <f t="shared" ref="E32:N32" si="14">-E28*$C$32</f>
        <v>0</v>
      </c>
      <c r="F32" s="466">
        <f t="shared" si="14"/>
        <v>181272.38344289997</v>
      </c>
      <c r="G32" s="466">
        <f t="shared" si="14"/>
        <v>0</v>
      </c>
      <c r="H32" s="466">
        <f t="shared" si="14"/>
        <v>181272.38344289997</v>
      </c>
      <c r="I32" s="466">
        <f t="shared" si="14"/>
        <v>0</v>
      </c>
      <c r="J32" s="466">
        <f t="shared" si="14"/>
        <v>181272.38344289997</v>
      </c>
      <c r="K32" s="466">
        <f t="shared" si="14"/>
        <v>11095.099065874063</v>
      </c>
      <c r="L32" s="466">
        <f t="shared" si="14"/>
        <v>192367.48250877403</v>
      </c>
      <c r="M32" s="466">
        <f t="shared" ref="M32" si="15">-M28*$C$32</f>
        <v>5785.7712328868756</v>
      </c>
      <c r="N32" s="466">
        <f t="shared" si="14"/>
        <v>198153.25374166091</v>
      </c>
      <c r="O32" s="466"/>
      <c r="P32" s="466"/>
      <c r="Q32" s="19" t="s">
        <v>694</v>
      </c>
    </row>
    <row r="33" spans="1:18">
      <c r="A33" s="452">
        <f t="shared" si="0"/>
        <v>20</v>
      </c>
      <c r="B33" s="460" t="s">
        <v>586</v>
      </c>
      <c r="C33" s="464"/>
      <c r="D33" s="467">
        <f t="shared" ref="D33:N33" si="16">SUM(D30:D32)</f>
        <v>852300174.65344286</v>
      </c>
      <c r="E33" s="467">
        <f t="shared" si="16"/>
        <v>10300467.056084067</v>
      </c>
      <c r="F33" s="467">
        <f t="shared" si="16"/>
        <v>862600641.70952702</v>
      </c>
      <c r="G33" s="467">
        <f t="shared" si="16"/>
        <v>0</v>
      </c>
      <c r="H33" s="467">
        <f t="shared" si="16"/>
        <v>862600641.70952702</v>
      </c>
      <c r="I33" s="467">
        <f t="shared" si="16"/>
        <v>0</v>
      </c>
      <c r="J33" s="467">
        <f t="shared" si="16"/>
        <v>862600641.70952702</v>
      </c>
      <c r="K33" s="467">
        <f t="shared" si="16"/>
        <v>189505557.93844107</v>
      </c>
      <c r="L33" s="467">
        <f t="shared" si="16"/>
        <v>1052106199.6479682</v>
      </c>
      <c r="M33" s="467">
        <f t="shared" ref="M33" si="17">SUM(M30:M32)</f>
        <v>182628282.72976032</v>
      </c>
      <c r="N33" s="467">
        <f t="shared" si="16"/>
        <v>1234734482.377728</v>
      </c>
      <c r="O33" s="467"/>
      <c r="P33" s="467"/>
      <c r="Q33" s="19" t="s">
        <v>694</v>
      </c>
    </row>
    <row r="34" spans="1:18">
      <c r="A34" s="452">
        <f t="shared" si="0"/>
        <v>21</v>
      </c>
      <c r="B34" s="465" t="s">
        <v>581</v>
      </c>
      <c r="C34" s="464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19" t="s">
        <v>694</v>
      </c>
    </row>
    <row r="35" spans="1:18">
      <c r="A35" s="452">
        <f t="shared" si="0"/>
        <v>22</v>
      </c>
      <c r="B35" s="464" t="s">
        <v>587</v>
      </c>
      <c r="C35" s="469">
        <v>0.21</v>
      </c>
      <c r="D35" s="468">
        <f>-D33*$C$35</f>
        <v>-178983036.677223</v>
      </c>
      <c r="E35" s="468">
        <f t="shared" ref="E35:H35" si="18">-E33*$C$35</f>
        <v>-2163098.0817776541</v>
      </c>
      <c r="F35" s="468">
        <f t="shared" si="18"/>
        <v>-181146134.75900066</v>
      </c>
      <c r="G35" s="468">
        <f t="shared" si="18"/>
        <v>0</v>
      </c>
      <c r="H35" s="468">
        <f t="shared" si="18"/>
        <v>-181146134.75900066</v>
      </c>
      <c r="I35" s="468">
        <f t="shared" ref="I35" si="19">-I33*$C$35</f>
        <v>0</v>
      </c>
      <c r="J35" s="468">
        <f t="shared" ref="J35:K35" si="20">-J33*$C$35</f>
        <v>-181146134.75900066</v>
      </c>
      <c r="K35" s="468">
        <f t="shared" si="20"/>
        <v>-39796167.167072624</v>
      </c>
      <c r="L35" s="468">
        <f t="shared" ref="L35:M35" si="21">-L33*$C$35</f>
        <v>-220942301.92607331</v>
      </c>
      <c r="M35" s="468">
        <f t="shared" si="21"/>
        <v>-38351939.373249665</v>
      </c>
      <c r="N35" s="468">
        <f t="shared" ref="N35" si="22">-N33*$C$35</f>
        <v>-259294241.29932287</v>
      </c>
      <c r="O35" s="468"/>
      <c r="P35" s="468"/>
      <c r="Q35" s="19" t="s">
        <v>694</v>
      </c>
    </row>
    <row r="36" spans="1:18" ht="13.5" thickBot="1">
      <c r="A36" s="452">
        <f t="shared" si="0"/>
        <v>23</v>
      </c>
      <c r="B36" s="464" t="s">
        <v>588</v>
      </c>
      <c r="C36" s="464"/>
      <c r="D36" s="470">
        <f t="shared" ref="D36:N36" si="23">-D33-D35</f>
        <v>-673317137.97621989</v>
      </c>
      <c r="E36" s="470">
        <f t="shared" si="23"/>
        <v>-8137368.974306412</v>
      </c>
      <c r="F36" s="470">
        <f t="shared" si="23"/>
        <v>-681454506.95052636</v>
      </c>
      <c r="G36" s="470">
        <f t="shared" si="23"/>
        <v>0</v>
      </c>
      <c r="H36" s="470">
        <f t="shared" si="23"/>
        <v>-681454506.95052636</v>
      </c>
      <c r="I36" s="470">
        <f t="shared" si="23"/>
        <v>0</v>
      </c>
      <c r="J36" s="470">
        <f t="shared" si="23"/>
        <v>-681454506.95052636</v>
      </c>
      <c r="K36" s="470">
        <f t="shared" si="23"/>
        <v>-149709390.77136844</v>
      </c>
      <c r="L36" s="470">
        <f t="shared" si="23"/>
        <v>-831163897.72189486</v>
      </c>
      <c r="M36" s="470">
        <f t="shared" ref="M36" si="24">-M33-M35</f>
        <v>-144276343.35651064</v>
      </c>
      <c r="N36" s="470">
        <f t="shared" si="23"/>
        <v>-975440241.07840514</v>
      </c>
      <c r="O36" s="470"/>
      <c r="P36" s="470"/>
      <c r="Q36" s="19" t="s">
        <v>694</v>
      </c>
    </row>
    <row r="37" spans="1:18" ht="13.5" thickTop="1">
      <c r="A37" s="13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19" t="s">
        <v>694</v>
      </c>
    </row>
    <row r="38" spans="1: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>
      <c r="A39"/>
      <c r="B39" s="1071" t="s">
        <v>1503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15">
      <c r="A40"/>
      <c r="B40" s="1120" t="s">
        <v>578</v>
      </c>
      <c r="C40" s="1120"/>
      <c r="D40" s="1121"/>
      <c r="E40" s="1122"/>
      <c r="F40" s="1122"/>
      <c r="G40" s="1123"/>
      <c r="H40" s="1122"/>
      <c r="I40" s="1122"/>
      <c r="J40" s="1122"/>
      <c r="K40" s="1122"/>
      <c r="L40" s="1122"/>
      <c r="M40" s="1122"/>
      <c r="N40" s="1122"/>
      <c r="O40" s="1122"/>
      <c r="P40" s="1122"/>
      <c r="Q40"/>
      <c r="R40"/>
    </row>
    <row r="41" spans="1:18">
      <c r="A41"/>
      <c r="B41" s="1124" t="s">
        <v>432</v>
      </c>
      <c r="C41" s="1124"/>
      <c r="D41" s="1125">
        <v>40481079.530000001</v>
      </c>
      <c r="E41" s="1125">
        <v>0</v>
      </c>
      <c r="F41" s="1125">
        <v>40481079.530000001</v>
      </c>
      <c r="G41" s="1125"/>
      <c r="H41" s="1125">
        <v>40481079.530000001</v>
      </c>
      <c r="I41" s="1125"/>
      <c r="J41" s="1125">
        <v>40481079.530000001</v>
      </c>
      <c r="K41" s="1125">
        <v>25209481.605987549</v>
      </c>
      <c r="L41" s="1125">
        <v>65690561.13598755</v>
      </c>
      <c r="M41" s="1125">
        <v>-10158669.335987553</v>
      </c>
      <c r="N41" s="1125">
        <v>55531891.799999997</v>
      </c>
      <c r="O41" s="1125"/>
      <c r="P41" s="1125"/>
      <c r="Q41"/>
      <c r="R41"/>
    </row>
    <row r="42" spans="1:18">
      <c r="A42"/>
      <c r="B42" s="1124" t="s">
        <v>433</v>
      </c>
      <c r="C42" s="1126"/>
      <c r="D42" s="1127">
        <v>178893364.00999999</v>
      </c>
      <c r="E42" s="1127">
        <v>0</v>
      </c>
      <c r="F42" s="1127">
        <v>178893364.00999999</v>
      </c>
      <c r="G42" s="1127"/>
      <c r="H42" s="1127">
        <v>178893364.00999999</v>
      </c>
      <c r="I42" s="1127"/>
      <c r="J42" s="1127">
        <v>178893364.00999999</v>
      </c>
      <c r="K42" s="1127">
        <v>321449090.46306604</v>
      </c>
      <c r="L42" s="1127">
        <v>500342454.47306603</v>
      </c>
      <c r="M42" s="1127">
        <v>-220466468.81610191</v>
      </c>
      <c r="N42" s="1127">
        <v>279875985.65696412</v>
      </c>
      <c r="O42" s="1127"/>
      <c r="P42" s="1127"/>
      <c r="Q42"/>
      <c r="R42"/>
    </row>
    <row r="43" spans="1:18">
      <c r="A43"/>
      <c r="B43" s="1124" t="s">
        <v>437</v>
      </c>
      <c r="C43" s="1124"/>
      <c r="D43" s="1127">
        <v>621116982.74000001</v>
      </c>
      <c r="E43" s="1127">
        <v>15058669.787625909</v>
      </c>
      <c r="F43" s="1127">
        <v>636175652.52762592</v>
      </c>
      <c r="G43" s="1127"/>
      <c r="H43" s="1127">
        <v>636175652.52762592</v>
      </c>
      <c r="I43" s="1127"/>
      <c r="J43" s="1127">
        <v>636175652.52762592</v>
      </c>
      <c r="K43" s="1127">
        <v>191427731.76285553</v>
      </c>
      <c r="L43" s="1127">
        <v>827603384.29048145</v>
      </c>
      <c r="M43" s="1127">
        <v>103969563.08436811</v>
      </c>
      <c r="N43" s="1127">
        <v>931572947.37484956</v>
      </c>
      <c r="O43" s="1127"/>
      <c r="P43" s="1127"/>
      <c r="Q43"/>
      <c r="R43"/>
    </row>
    <row r="44" spans="1:18">
      <c r="A44"/>
      <c r="B44" s="1124"/>
      <c r="C44" s="1124"/>
      <c r="D44" s="1127">
        <v>0</v>
      </c>
      <c r="E44" s="1127"/>
      <c r="F44" s="1127">
        <v>0</v>
      </c>
      <c r="G44" s="1127"/>
      <c r="H44" s="1127">
        <v>0</v>
      </c>
      <c r="I44" s="1127"/>
      <c r="J44" s="1127">
        <v>0</v>
      </c>
      <c r="K44" s="1127">
        <v>0</v>
      </c>
      <c r="L44" s="1127">
        <v>0</v>
      </c>
      <c r="M44" s="1127">
        <v>11391237.017779689</v>
      </c>
      <c r="N44" s="1127">
        <v>11391237.017779689</v>
      </c>
      <c r="O44" s="1127"/>
      <c r="P44" s="1127"/>
      <c r="Q44"/>
      <c r="R44"/>
    </row>
    <row r="45" spans="1:18">
      <c r="A45"/>
      <c r="B45" s="1124" t="s">
        <v>438</v>
      </c>
      <c r="C45" s="1124"/>
      <c r="D45" s="1127">
        <v>-20517923.440000001</v>
      </c>
      <c r="E45" s="1127">
        <v>-8852626.7315418422</v>
      </c>
      <c r="F45" s="1127">
        <v>-29370550.171541844</v>
      </c>
      <c r="G45" s="1127"/>
      <c r="H45" s="1127">
        <v>-29370550.171541844</v>
      </c>
      <c r="I45" s="1127"/>
      <c r="J45" s="1127">
        <v>-29370550.171541844</v>
      </c>
      <c r="K45" s="1127">
        <v>42648002.327158451</v>
      </c>
      <c r="L45" s="1127">
        <v>13277452.155616608</v>
      </c>
      <c r="M45" s="1127">
        <v>352742.72336205654</v>
      </c>
      <c r="N45" s="1127">
        <v>13630194.878978664</v>
      </c>
      <c r="O45" s="1127"/>
      <c r="P45" s="1127"/>
      <c r="Q45"/>
      <c r="R45"/>
    </row>
    <row r="46" spans="1:18">
      <c r="A46"/>
      <c r="B46" s="1126" t="s">
        <v>579</v>
      </c>
      <c r="C46" s="1126"/>
      <c r="D46" s="1127">
        <v>509160.25</v>
      </c>
      <c r="E46" s="1127">
        <v>0</v>
      </c>
      <c r="F46" s="1127">
        <v>509160.25</v>
      </c>
      <c r="G46" s="1127"/>
      <c r="H46" s="1127">
        <v>509160.25</v>
      </c>
      <c r="I46" s="1127"/>
      <c r="J46" s="1127">
        <v>509160.25</v>
      </c>
      <c r="K46" s="1127">
        <v>12219.84600000002</v>
      </c>
      <c r="L46" s="1127">
        <v>521380.09600000002</v>
      </c>
      <c r="M46" s="1127">
        <v>12513.12230399996</v>
      </c>
      <c r="N46" s="1127">
        <v>533893.21830399998</v>
      </c>
      <c r="O46" s="1127"/>
      <c r="P46" s="1127"/>
      <c r="Q46"/>
      <c r="R46"/>
    </row>
    <row r="47" spans="1:18">
      <c r="A47"/>
      <c r="B47" s="1124" t="s">
        <v>440</v>
      </c>
      <c r="C47" s="1124"/>
      <c r="D47" s="1127">
        <v>123773668.73999999</v>
      </c>
      <c r="E47" s="1127">
        <v>0</v>
      </c>
      <c r="F47" s="1127">
        <v>123773668.73999999</v>
      </c>
      <c r="G47" s="1127"/>
      <c r="H47" s="1127">
        <v>123773668.73999999</v>
      </c>
      <c r="I47" s="1127"/>
      <c r="J47" s="1127">
        <v>123773668.73999999</v>
      </c>
      <c r="K47" s="1127">
        <v>11278201.410630897</v>
      </c>
      <c r="L47" s="1127">
        <v>135051870.15063089</v>
      </c>
      <c r="M47" s="1127">
        <v>18174856.403941482</v>
      </c>
      <c r="N47" s="1127">
        <v>153226726.55457237</v>
      </c>
      <c r="O47" s="1127"/>
      <c r="P47" s="1127"/>
      <c r="Q47"/>
      <c r="R47"/>
    </row>
    <row r="48" spans="1:18">
      <c r="A48"/>
      <c r="B48" s="1124" t="s">
        <v>2</v>
      </c>
      <c r="C48" s="1124"/>
      <c r="D48" s="1127">
        <v>-175259903.59</v>
      </c>
      <c r="E48" s="1127">
        <v>0</v>
      </c>
      <c r="F48" s="1127">
        <v>-175259903.59</v>
      </c>
      <c r="G48" s="1127"/>
      <c r="H48" s="1127">
        <v>-175259903.59</v>
      </c>
      <c r="I48" s="1127"/>
      <c r="J48" s="1127">
        <v>-175259903.59</v>
      </c>
      <c r="K48" s="1127">
        <v>-306829663.81599998</v>
      </c>
      <c r="L48" s="1127">
        <v>-482089567.40599996</v>
      </c>
      <c r="M48" s="1127">
        <v>299917047.24546576</v>
      </c>
      <c r="N48" s="1127">
        <v>-182172520.1605342</v>
      </c>
      <c r="O48" s="1127"/>
      <c r="P48" s="1127"/>
      <c r="Q48"/>
      <c r="R48"/>
    </row>
    <row r="49" spans="1:18">
      <c r="A49"/>
      <c r="B49" s="1124" t="s">
        <v>441</v>
      </c>
      <c r="C49" s="1124"/>
      <c r="D49" s="1127">
        <v>-21311995.93</v>
      </c>
      <c r="E49" s="1127">
        <v>0</v>
      </c>
      <c r="F49" s="1127">
        <v>-21311995.93</v>
      </c>
      <c r="G49" s="1127"/>
      <c r="H49" s="1127">
        <v>-21311995.93</v>
      </c>
      <c r="I49" s="1127"/>
      <c r="J49" s="1127">
        <v>-21311995.93</v>
      </c>
      <c r="K49" s="1127">
        <v>-108954759.24406844</v>
      </c>
      <c r="L49" s="1127">
        <v>-130266755.17406844</v>
      </c>
      <c r="M49" s="1127">
        <v>3365397.3565045446</v>
      </c>
      <c r="N49" s="1127">
        <v>-126901357.81756389</v>
      </c>
      <c r="O49" s="1127"/>
      <c r="P49" s="1127"/>
      <c r="Q49"/>
      <c r="R49"/>
    </row>
    <row r="50" spans="1:18" ht="15">
      <c r="A50"/>
      <c r="B50" s="1128" t="s">
        <v>580</v>
      </c>
      <c r="C50" s="1120"/>
      <c r="D50" s="1129">
        <v>747684432.30999994</v>
      </c>
      <c r="E50" s="1129">
        <v>6206043.0560840666</v>
      </c>
      <c r="F50" s="1129">
        <v>753890475.3660841</v>
      </c>
      <c r="G50" s="1129">
        <v>0</v>
      </c>
      <c r="H50" s="1129">
        <v>753890475.3660841</v>
      </c>
      <c r="I50" s="1129">
        <v>0</v>
      </c>
      <c r="J50" s="1129">
        <v>753890475.3660841</v>
      </c>
      <c r="K50" s="1129">
        <v>176240304.3556301</v>
      </c>
      <c r="L50" s="1129">
        <v>930130779.72171426</v>
      </c>
      <c r="M50" s="1129">
        <v>206558218.80163616</v>
      </c>
      <c r="N50" s="1129">
        <v>1136688998.5233502</v>
      </c>
      <c r="O50" s="1129"/>
      <c r="P50" s="1129"/>
      <c r="Q50"/>
      <c r="R50"/>
    </row>
    <row r="51" spans="1:18" ht="15">
      <c r="A51"/>
      <c r="B51" s="1120" t="s">
        <v>581</v>
      </c>
      <c r="C51" s="112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1130"/>
      <c r="P51" s="1130"/>
      <c r="Q51"/>
      <c r="R51"/>
    </row>
    <row r="52" spans="1:18" ht="15">
      <c r="A52"/>
      <c r="B52" s="1120" t="s">
        <v>443</v>
      </c>
      <c r="C52" s="112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1130"/>
      <c r="P52" s="1130"/>
      <c r="Q52"/>
      <c r="R52"/>
    </row>
    <row r="53" spans="1:18">
      <c r="A53"/>
      <c r="B53" s="1131" t="s">
        <v>360</v>
      </c>
      <c r="C53" s="1120"/>
      <c r="D53" s="1127">
        <v>108522830.96000001</v>
      </c>
      <c r="E53" s="1127">
        <v>0</v>
      </c>
      <c r="F53" s="1127">
        <v>108522830.96000001</v>
      </c>
      <c r="G53" s="1127"/>
      <c r="H53" s="1127">
        <v>108522830.96000001</v>
      </c>
      <c r="I53" s="1127"/>
      <c r="J53" s="1127">
        <v>108522830.96000001</v>
      </c>
      <c r="K53" s="1127">
        <v>13540601.894337162</v>
      </c>
      <c r="L53" s="1127">
        <v>122063432.85433717</v>
      </c>
      <c r="M53" s="1127">
        <v>-234683.18063247204</v>
      </c>
      <c r="N53" s="1127">
        <v>121828749.6737047</v>
      </c>
      <c r="O53" s="1127"/>
      <c r="P53" s="1127"/>
      <c r="Q53"/>
      <c r="R53"/>
    </row>
    <row r="54" spans="1:18">
      <c r="A54"/>
      <c r="B54" s="1128" t="s">
        <v>582</v>
      </c>
      <c r="C54" s="1120"/>
      <c r="D54" s="1127">
        <v>591568.35</v>
      </c>
      <c r="E54" s="1127">
        <v>0</v>
      </c>
      <c r="F54" s="1127">
        <v>591568.35</v>
      </c>
      <c r="G54" s="1127"/>
      <c r="H54" s="1127">
        <v>591568.35</v>
      </c>
      <c r="I54" s="1127"/>
      <c r="J54" s="1127">
        <v>591568.35</v>
      </c>
      <c r="K54" s="1127">
        <v>0</v>
      </c>
      <c r="L54" s="1127">
        <v>591568.35</v>
      </c>
      <c r="M54" s="1127">
        <v>0</v>
      </c>
      <c r="N54" s="1127">
        <v>591568.35</v>
      </c>
      <c r="O54" s="1127"/>
      <c r="P54" s="1127"/>
      <c r="Q54"/>
      <c r="R54"/>
    </row>
    <row r="55" spans="1:18">
      <c r="A55"/>
      <c r="B55" s="1128" t="s">
        <v>583</v>
      </c>
      <c r="C55" s="1120"/>
      <c r="D55" s="1127">
        <v>-4679929.3499999996</v>
      </c>
      <c r="E55" s="1127">
        <v>0</v>
      </c>
      <c r="F55" s="1127">
        <v>-4679929.3499999996</v>
      </c>
      <c r="G55" s="1127"/>
      <c r="H55" s="1127">
        <v>-4679929.3499999996</v>
      </c>
      <c r="I55" s="1127"/>
      <c r="J55" s="1127">
        <v>-4679929.3499999996</v>
      </c>
      <c r="K55" s="1127">
        <v>-286443.41059209127</v>
      </c>
      <c r="L55" s="1127">
        <v>-4966372.7605920909</v>
      </c>
      <c r="M55" s="1127">
        <v>-149371.90150479879</v>
      </c>
      <c r="N55" s="1127">
        <v>-5115744.6620968897</v>
      </c>
      <c r="O55" s="1127"/>
      <c r="P55" s="1127"/>
      <c r="Q55"/>
      <c r="R55"/>
    </row>
    <row r="56" spans="1:18">
      <c r="A56"/>
      <c r="B56" s="1128" t="s">
        <v>584</v>
      </c>
      <c r="C56" s="1120"/>
      <c r="D56" s="1127">
        <v>0</v>
      </c>
      <c r="E56" s="1127">
        <v>4094424</v>
      </c>
      <c r="F56" s="1127">
        <v>4094424</v>
      </c>
      <c r="G56" s="1127"/>
      <c r="H56" s="1127">
        <v>4094424</v>
      </c>
      <c r="I56" s="1127"/>
      <c r="J56" s="1127">
        <v>4094424</v>
      </c>
      <c r="K56" s="1127">
        <v>0</v>
      </c>
      <c r="L56" s="1127">
        <v>4094424.0000000005</v>
      </c>
      <c r="M56" s="1127">
        <v>11217.600000000093</v>
      </c>
      <c r="N56" s="1127">
        <v>4105641.6000000006</v>
      </c>
      <c r="O56" s="1127"/>
      <c r="P56" s="1127"/>
      <c r="Q56"/>
      <c r="R56"/>
    </row>
    <row r="57" spans="1:18" ht="15">
      <c r="A57"/>
      <c r="B57" s="1128" t="s">
        <v>580</v>
      </c>
      <c r="C57" s="1120"/>
      <c r="D57" s="1129">
        <v>852118902.26999998</v>
      </c>
      <c r="E57" s="1129">
        <v>10300467.056084067</v>
      </c>
      <c r="F57" s="1129">
        <v>862419369.32608414</v>
      </c>
      <c r="G57" s="1129">
        <v>0</v>
      </c>
      <c r="H57" s="1129">
        <v>862419369.32608414</v>
      </c>
      <c r="I57" s="1129">
        <v>0</v>
      </c>
      <c r="J57" s="1129">
        <v>862419369.32608414</v>
      </c>
      <c r="K57" s="1129">
        <v>189494462.8393752</v>
      </c>
      <c r="L57" s="1129">
        <v>1051913832.1654594</v>
      </c>
      <c r="M57" s="1129">
        <v>206185381.3194989</v>
      </c>
      <c r="N57" s="1129">
        <v>1258099213.4849577</v>
      </c>
      <c r="O57" s="1129"/>
      <c r="P57" s="1129"/>
      <c r="Q57"/>
      <c r="R57"/>
    </row>
    <row r="58" spans="1:18">
      <c r="A58"/>
      <c r="B58" s="1132" t="s">
        <v>581</v>
      </c>
      <c r="C58" s="1132"/>
      <c r="D58" s="1132"/>
      <c r="E58" s="1132"/>
      <c r="F58" s="1132"/>
      <c r="G58" s="1132"/>
      <c r="H58" s="1132"/>
      <c r="I58" s="1132"/>
      <c r="J58" s="1132"/>
      <c r="K58" s="1132"/>
      <c r="L58" s="1132"/>
      <c r="M58" s="1132"/>
      <c r="N58" s="1132"/>
      <c r="O58" s="1132"/>
      <c r="P58" s="1132"/>
      <c r="Q58"/>
      <c r="R58"/>
    </row>
    <row r="59" spans="1:18">
      <c r="A59"/>
      <c r="B59" s="1133" t="s">
        <v>585</v>
      </c>
      <c r="C59" s="1132">
        <v>3.8733999999999998E-2</v>
      </c>
      <c r="D59" s="1134">
        <v>181272.38344289997</v>
      </c>
      <c r="E59" s="1134">
        <v>0</v>
      </c>
      <c r="F59" s="1134">
        <v>181272.38344289997</v>
      </c>
      <c r="G59" s="1134">
        <v>0</v>
      </c>
      <c r="H59" s="1134">
        <v>181272.38344289997</v>
      </c>
      <c r="I59" s="1134">
        <v>0</v>
      </c>
      <c r="J59" s="1134">
        <v>181272.38344289997</v>
      </c>
      <c r="K59" s="1134">
        <v>11095.099065874063</v>
      </c>
      <c r="L59" s="1134">
        <v>192367.48250877403</v>
      </c>
      <c r="M59" s="1134">
        <v>5785.7712328868756</v>
      </c>
      <c r="N59" s="1134">
        <v>198153.25374166091</v>
      </c>
      <c r="O59" s="1134"/>
      <c r="P59" s="1134"/>
      <c r="Q59"/>
      <c r="R59"/>
    </row>
    <row r="60" spans="1:18">
      <c r="A60"/>
      <c r="B60" s="1128" t="s">
        <v>586</v>
      </c>
      <c r="C60" s="1132"/>
      <c r="D60" s="1135">
        <v>852300174.65344286</v>
      </c>
      <c r="E60" s="1135">
        <v>10300467.056084067</v>
      </c>
      <c r="F60" s="1135">
        <v>862600641.70952702</v>
      </c>
      <c r="G60" s="1135">
        <v>0</v>
      </c>
      <c r="H60" s="1135">
        <v>862600641.70952702</v>
      </c>
      <c r="I60" s="1135">
        <v>0</v>
      </c>
      <c r="J60" s="1135">
        <v>862600641.70952702</v>
      </c>
      <c r="K60" s="1135">
        <v>189505557.93844107</v>
      </c>
      <c r="L60" s="1135">
        <v>1052106199.6479682</v>
      </c>
      <c r="M60" s="1135">
        <v>206191167.09073177</v>
      </c>
      <c r="N60" s="1135">
        <v>1258297366.7386994</v>
      </c>
      <c r="O60" s="1135"/>
      <c r="P60" s="1135"/>
      <c r="Q60"/>
      <c r="R60"/>
    </row>
    <row r="61" spans="1:18">
      <c r="A61"/>
      <c r="B61" s="1133" t="s">
        <v>581</v>
      </c>
      <c r="C61" s="1132"/>
      <c r="D61" s="1136"/>
      <c r="E61" s="1136"/>
      <c r="F61" s="1136"/>
      <c r="G61" s="1136"/>
      <c r="H61" s="1136"/>
      <c r="I61" s="1136"/>
      <c r="J61" s="1136"/>
      <c r="K61" s="1136"/>
      <c r="L61" s="1136"/>
      <c r="M61" s="1136"/>
      <c r="N61" s="1136"/>
      <c r="O61" s="1136"/>
      <c r="P61" s="1136"/>
      <c r="Q61"/>
      <c r="R61"/>
    </row>
    <row r="62" spans="1:18">
      <c r="A62"/>
      <c r="B62" s="1132" t="s">
        <v>587</v>
      </c>
      <c r="C62" s="1137">
        <v>0.21</v>
      </c>
      <c r="D62" s="1136">
        <v>-178983036.677223</v>
      </c>
      <c r="E62" s="1136">
        <v>-2163098.0817776541</v>
      </c>
      <c r="F62" s="1136">
        <v>-181146134.75900066</v>
      </c>
      <c r="G62" s="1136">
        <v>0</v>
      </c>
      <c r="H62" s="1136">
        <v>-181146134.75900066</v>
      </c>
      <c r="I62" s="1136">
        <v>0</v>
      </c>
      <c r="J62" s="1136">
        <v>-181146134.75900066</v>
      </c>
      <c r="K62" s="1136">
        <v>-39796167.167072624</v>
      </c>
      <c r="L62" s="1136">
        <v>-220942301.92607331</v>
      </c>
      <c r="M62" s="1136">
        <v>-43300145.089053668</v>
      </c>
      <c r="N62" s="1136">
        <v>-264242447.01512688</v>
      </c>
      <c r="O62" s="1136"/>
      <c r="P62" s="1136"/>
      <c r="Q62"/>
      <c r="R62"/>
    </row>
    <row r="63" spans="1:18" ht="13.5" thickBot="1">
      <c r="A63"/>
      <c r="B63" s="1132" t="s">
        <v>588</v>
      </c>
      <c r="C63" s="1132"/>
      <c r="D63" s="1138">
        <v>-673317137.97621989</v>
      </c>
      <c r="E63" s="1138">
        <v>-8137368.974306412</v>
      </c>
      <c r="F63" s="1138">
        <v>-681454506.95052636</v>
      </c>
      <c r="G63" s="1138">
        <v>0</v>
      </c>
      <c r="H63" s="1138">
        <v>-681454506.95052636</v>
      </c>
      <c r="I63" s="1138">
        <v>0</v>
      </c>
      <c r="J63" s="1138">
        <v>-681454506.95052636</v>
      </c>
      <c r="K63" s="1138">
        <v>-149709390.77136844</v>
      </c>
      <c r="L63" s="1138">
        <v>-831163897.72189486</v>
      </c>
      <c r="M63" s="1138">
        <v>-162891022.00167811</v>
      </c>
      <c r="N63" s="1138">
        <v>-994054919.72357249</v>
      </c>
      <c r="O63" s="1138"/>
      <c r="P63" s="1138"/>
      <c r="Q63"/>
      <c r="R63"/>
    </row>
    <row r="64" spans="1:18" ht="13.5" thickTop="1">
      <c r="A64"/>
      <c r="B64" s="1071" t="s">
        <v>1504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15">
      <c r="A65"/>
      <c r="B65" s="1120" t="s">
        <v>578</v>
      </c>
      <c r="C65" s="1120"/>
      <c r="D65" s="1121"/>
      <c r="E65" s="1122"/>
      <c r="F65" s="1122"/>
      <c r="G65" s="1123"/>
      <c r="H65" s="1122"/>
      <c r="I65" s="1122"/>
      <c r="J65" s="1122"/>
      <c r="K65" s="1122"/>
      <c r="L65" s="1122"/>
      <c r="M65" s="1122"/>
      <c r="N65" s="1122"/>
      <c r="O65" s="1122"/>
      <c r="P65" s="1122"/>
      <c r="Q65"/>
      <c r="R65"/>
    </row>
    <row r="66" spans="1:18">
      <c r="A66"/>
      <c r="B66" s="1124" t="s">
        <v>432</v>
      </c>
      <c r="C66" s="1124"/>
      <c r="D66" s="1125">
        <f>+D14-D41</f>
        <v>0</v>
      </c>
      <c r="E66" s="1125">
        <f t="shared" ref="E66:N66" si="25">+E14-E41</f>
        <v>0</v>
      </c>
      <c r="F66" s="1125">
        <f t="shared" si="25"/>
        <v>0</v>
      </c>
      <c r="G66" s="1125">
        <f t="shared" si="25"/>
        <v>0</v>
      </c>
      <c r="H66" s="1125">
        <f t="shared" si="25"/>
        <v>0</v>
      </c>
      <c r="I66" s="1125">
        <f t="shared" si="25"/>
        <v>0</v>
      </c>
      <c r="J66" s="1125">
        <f t="shared" si="25"/>
        <v>0</v>
      </c>
      <c r="K66" s="1125">
        <f t="shared" si="25"/>
        <v>0</v>
      </c>
      <c r="L66" s="1125">
        <f t="shared" si="25"/>
        <v>0</v>
      </c>
      <c r="M66" s="1125">
        <f t="shared" si="25"/>
        <v>0</v>
      </c>
      <c r="N66" s="1125">
        <f t="shared" si="25"/>
        <v>0</v>
      </c>
      <c r="O66" s="1125"/>
      <c r="P66" s="1125"/>
      <c r="Q66"/>
      <c r="R66"/>
    </row>
    <row r="67" spans="1:18">
      <c r="A67"/>
      <c r="B67" s="1124" t="s">
        <v>433</v>
      </c>
      <c r="C67" s="1126"/>
      <c r="D67" s="1127">
        <f t="shared" ref="D67:N88" si="26">+D15-D42</f>
        <v>0</v>
      </c>
      <c r="E67" s="1127">
        <f t="shared" si="26"/>
        <v>0</v>
      </c>
      <c r="F67" s="1127">
        <f t="shared" si="26"/>
        <v>0</v>
      </c>
      <c r="G67" s="1127">
        <f t="shared" si="26"/>
        <v>0</v>
      </c>
      <c r="H67" s="1127">
        <f t="shared" si="26"/>
        <v>0</v>
      </c>
      <c r="I67" s="1127">
        <f t="shared" si="26"/>
        <v>0</v>
      </c>
      <c r="J67" s="1127">
        <f t="shared" si="26"/>
        <v>0</v>
      </c>
      <c r="K67" s="1127">
        <f t="shared" si="26"/>
        <v>0</v>
      </c>
      <c r="L67" s="1127">
        <f t="shared" si="26"/>
        <v>0</v>
      </c>
      <c r="M67" s="1127">
        <f t="shared" si="26"/>
        <v>44174161.040494204</v>
      </c>
      <c r="N67" s="1127">
        <f t="shared" si="26"/>
        <v>44174161.040494204</v>
      </c>
      <c r="O67" s="1127"/>
      <c r="P67" s="1127"/>
      <c r="Q67"/>
      <c r="R67"/>
    </row>
    <row r="68" spans="1:18">
      <c r="A68"/>
      <c r="B68" s="1124" t="s">
        <v>437</v>
      </c>
      <c r="C68" s="1124"/>
      <c r="D68" s="1127">
        <f t="shared" si="26"/>
        <v>0</v>
      </c>
      <c r="E68" s="1127">
        <f t="shared" si="26"/>
        <v>0</v>
      </c>
      <c r="F68" s="1127">
        <f t="shared" si="26"/>
        <v>0</v>
      </c>
      <c r="G68" s="1127">
        <f t="shared" si="26"/>
        <v>0</v>
      </c>
      <c r="H68" s="1127">
        <f t="shared" si="26"/>
        <v>0</v>
      </c>
      <c r="I68" s="1127">
        <f t="shared" si="26"/>
        <v>0</v>
      </c>
      <c r="J68" s="1127">
        <f t="shared" si="26"/>
        <v>0</v>
      </c>
      <c r="K68" s="1127">
        <f t="shared" si="26"/>
        <v>0</v>
      </c>
      <c r="L68" s="1127">
        <f t="shared" si="26"/>
        <v>0</v>
      </c>
      <c r="M68" s="1127">
        <f t="shared" si="26"/>
        <v>-879801.06199991703</v>
      </c>
      <c r="N68" s="1127">
        <f t="shared" si="26"/>
        <v>-879801.06199991703</v>
      </c>
      <c r="O68" s="1127"/>
      <c r="P68" s="1127"/>
      <c r="Q68"/>
      <c r="R68"/>
    </row>
    <row r="69" spans="1:18">
      <c r="A69"/>
      <c r="B69" s="1124"/>
      <c r="C69" s="1124"/>
      <c r="D69" s="1127">
        <f t="shared" si="26"/>
        <v>0</v>
      </c>
      <c r="E69" s="1127">
        <f t="shared" si="26"/>
        <v>0</v>
      </c>
      <c r="F69" s="1127">
        <f t="shared" si="26"/>
        <v>0</v>
      </c>
      <c r="G69" s="1127">
        <f t="shared" si="26"/>
        <v>0</v>
      </c>
      <c r="H69" s="1127">
        <f t="shared" si="26"/>
        <v>0</v>
      </c>
      <c r="I69" s="1127">
        <f t="shared" si="26"/>
        <v>0</v>
      </c>
      <c r="J69" s="1127">
        <f t="shared" si="26"/>
        <v>0</v>
      </c>
      <c r="K69" s="1127">
        <f t="shared" si="26"/>
        <v>0</v>
      </c>
      <c r="L69" s="1127">
        <f t="shared" si="26"/>
        <v>0</v>
      </c>
      <c r="M69" s="1127">
        <f t="shared" si="26"/>
        <v>0</v>
      </c>
      <c r="N69" s="1127">
        <f t="shared" si="26"/>
        <v>0</v>
      </c>
      <c r="O69" s="1127"/>
      <c r="P69" s="1127"/>
      <c r="Q69"/>
      <c r="R69"/>
    </row>
    <row r="70" spans="1:18">
      <c r="A70"/>
      <c r="B70" s="1124" t="s">
        <v>438</v>
      </c>
      <c r="C70" s="1124"/>
      <c r="D70" s="1127">
        <f t="shared" si="26"/>
        <v>0</v>
      </c>
      <c r="E70" s="1127">
        <f t="shared" si="26"/>
        <v>0</v>
      </c>
      <c r="F70" s="1127">
        <f t="shared" si="26"/>
        <v>0</v>
      </c>
      <c r="G70" s="1127">
        <f t="shared" si="26"/>
        <v>0</v>
      </c>
      <c r="H70" s="1127">
        <f t="shared" si="26"/>
        <v>0</v>
      </c>
      <c r="I70" s="1127">
        <f t="shared" si="26"/>
        <v>0</v>
      </c>
      <c r="J70" s="1127">
        <f t="shared" si="26"/>
        <v>0</v>
      </c>
      <c r="K70" s="1127">
        <f t="shared" si="26"/>
        <v>0</v>
      </c>
      <c r="L70" s="1127">
        <f t="shared" si="26"/>
        <v>0</v>
      </c>
      <c r="M70" s="1127">
        <f t="shared" si="26"/>
        <v>0</v>
      </c>
      <c r="N70" s="1127">
        <f t="shared" si="26"/>
        <v>0</v>
      </c>
      <c r="O70" s="1127"/>
      <c r="P70" s="1127"/>
      <c r="Q70"/>
      <c r="R70"/>
    </row>
    <row r="71" spans="1:18">
      <c r="A71"/>
      <c r="B71" s="1126" t="s">
        <v>579</v>
      </c>
      <c r="C71" s="1126"/>
      <c r="D71" s="1127">
        <f t="shared" si="26"/>
        <v>0</v>
      </c>
      <c r="E71" s="1127">
        <f t="shared" si="26"/>
        <v>0</v>
      </c>
      <c r="F71" s="1127">
        <f t="shared" si="26"/>
        <v>0</v>
      </c>
      <c r="G71" s="1127">
        <f t="shared" si="26"/>
        <v>0</v>
      </c>
      <c r="H71" s="1127">
        <f t="shared" si="26"/>
        <v>0</v>
      </c>
      <c r="I71" s="1127">
        <f t="shared" si="26"/>
        <v>0</v>
      </c>
      <c r="J71" s="1127">
        <f t="shared" si="26"/>
        <v>0</v>
      </c>
      <c r="K71" s="1127">
        <f t="shared" si="26"/>
        <v>0</v>
      </c>
      <c r="L71" s="1127">
        <f t="shared" si="26"/>
        <v>0</v>
      </c>
      <c r="M71" s="1127">
        <f t="shared" si="26"/>
        <v>0</v>
      </c>
      <c r="N71" s="1127">
        <f t="shared" si="26"/>
        <v>0</v>
      </c>
      <c r="O71" s="1127"/>
      <c r="P71" s="1127"/>
      <c r="Q71"/>
      <c r="R71"/>
    </row>
    <row r="72" spans="1:18">
      <c r="A72"/>
      <c r="B72" s="1124" t="s">
        <v>440</v>
      </c>
      <c r="C72" s="1124"/>
      <c r="D72" s="1127">
        <f t="shared" si="26"/>
        <v>0</v>
      </c>
      <c r="E72" s="1127">
        <f t="shared" si="26"/>
        <v>0</v>
      </c>
      <c r="F72" s="1127">
        <f t="shared" si="26"/>
        <v>0</v>
      </c>
      <c r="G72" s="1127">
        <f t="shared" si="26"/>
        <v>0</v>
      </c>
      <c r="H72" s="1127">
        <f t="shared" si="26"/>
        <v>0</v>
      </c>
      <c r="I72" s="1127">
        <f t="shared" si="26"/>
        <v>0</v>
      </c>
      <c r="J72" s="1127">
        <f t="shared" si="26"/>
        <v>0</v>
      </c>
      <c r="K72" s="1127">
        <f t="shared" si="26"/>
        <v>0</v>
      </c>
      <c r="L72" s="1127">
        <f t="shared" si="26"/>
        <v>0</v>
      </c>
      <c r="M72" s="1127">
        <f t="shared" si="26"/>
        <v>0</v>
      </c>
      <c r="N72" s="1127">
        <f t="shared" si="26"/>
        <v>0</v>
      </c>
      <c r="O72" s="1127"/>
      <c r="P72" s="1127"/>
      <c r="Q72"/>
      <c r="R72"/>
    </row>
    <row r="73" spans="1:18">
      <c r="A73"/>
      <c r="B73" s="1124" t="s">
        <v>2</v>
      </c>
      <c r="C73" s="1124"/>
      <c r="D73" s="1127">
        <f t="shared" si="26"/>
        <v>0</v>
      </c>
      <c r="E73" s="1127">
        <f t="shared" si="26"/>
        <v>0</v>
      </c>
      <c r="F73" s="1127">
        <f t="shared" si="26"/>
        <v>0</v>
      </c>
      <c r="G73" s="1127">
        <f t="shared" si="26"/>
        <v>0</v>
      </c>
      <c r="H73" s="1127">
        <f t="shared" si="26"/>
        <v>0</v>
      </c>
      <c r="I73" s="1127">
        <f t="shared" si="26"/>
        <v>0</v>
      </c>
      <c r="J73" s="1127">
        <f t="shared" si="26"/>
        <v>0</v>
      </c>
      <c r="K73" s="1127">
        <f t="shared" si="26"/>
        <v>0</v>
      </c>
      <c r="L73" s="1127">
        <f t="shared" si="26"/>
        <v>0</v>
      </c>
      <c r="M73" s="1127">
        <f t="shared" si="26"/>
        <v>-66857244.339465767</v>
      </c>
      <c r="N73" s="1127">
        <f t="shared" si="26"/>
        <v>-66857244.339465767</v>
      </c>
      <c r="O73" s="1127"/>
      <c r="P73" s="1127"/>
      <c r="Q73"/>
      <c r="R73"/>
    </row>
    <row r="74" spans="1:18">
      <c r="A74"/>
      <c r="B74" s="1124" t="s">
        <v>441</v>
      </c>
      <c r="C74" s="1124"/>
      <c r="D74" s="1127">
        <f t="shared" si="26"/>
        <v>0</v>
      </c>
      <c r="E74" s="1127">
        <f t="shared" si="26"/>
        <v>0</v>
      </c>
      <c r="F74" s="1127">
        <f t="shared" si="26"/>
        <v>0</v>
      </c>
      <c r="G74" s="1127">
        <f t="shared" si="26"/>
        <v>0</v>
      </c>
      <c r="H74" s="1127">
        <f t="shared" si="26"/>
        <v>0</v>
      </c>
      <c r="I74" s="1127">
        <f t="shared" si="26"/>
        <v>0</v>
      </c>
      <c r="J74" s="1127">
        <f t="shared" si="26"/>
        <v>0</v>
      </c>
      <c r="K74" s="1127">
        <f t="shared" si="26"/>
        <v>0</v>
      </c>
      <c r="L74" s="1127">
        <f t="shared" si="26"/>
        <v>0</v>
      </c>
      <c r="M74" s="1127">
        <f t="shared" si="26"/>
        <v>0</v>
      </c>
      <c r="N74" s="1127">
        <f t="shared" si="26"/>
        <v>0</v>
      </c>
      <c r="O74" s="1127"/>
      <c r="P74" s="1127"/>
      <c r="Q74"/>
      <c r="R74"/>
    </row>
    <row r="75" spans="1:18" ht="15">
      <c r="A75"/>
      <c r="B75" s="1128" t="s">
        <v>580</v>
      </c>
      <c r="C75" s="1120"/>
      <c r="D75" s="1129">
        <f t="shared" si="26"/>
        <v>0</v>
      </c>
      <c r="E75" s="1129">
        <f t="shared" si="26"/>
        <v>0</v>
      </c>
      <c r="F75" s="1129">
        <f t="shared" si="26"/>
        <v>0</v>
      </c>
      <c r="G75" s="1129">
        <f t="shared" si="26"/>
        <v>0</v>
      </c>
      <c r="H75" s="1129">
        <f t="shared" si="26"/>
        <v>0</v>
      </c>
      <c r="I75" s="1129">
        <f t="shared" si="26"/>
        <v>0</v>
      </c>
      <c r="J75" s="1129">
        <f t="shared" si="26"/>
        <v>0</v>
      </c>
      <c r="K75" s="1129">
        <f t="shared" si="26"/>
        <v>0</v>
      </c>
      <c r="L75" s="1129">
        <f t="shared" si="26"/>
        <v>0</v>
      </c>
      <c r="M75" s="1129">
        <f t="shared" si="26"/>
        <v>-23562884.360971451</v>
      </c>
      <c r="N75" s="1129">
        <f t="shared" si="26"/>
        <v>-23562884.360971451</v>
      </c>
      <c r="O75" s="1129"/>
      <c r="P75" s="1129"/>
      <c r="Q75"/>
      <c r="R75"/>
    </row>
    <row r="76" spans="1:18" ht="15">
      <c r="A76"/>
      <c r="B76" s="1120" t="s">
        <v>581</v>
      </c>
      <c r="C76" s="1120"/>
      <c r="D76" s="1130">
        <f t="shared" si="26"/>
        <v>0</v>
      </c>
      <c r="E76" s="1130">
        <f t="shared" si="26"/>
        <v>0</v>
      </c>
      <c r="F76" s="1130">
        <f t="shared" si="26"/>
        <v>0</v>
      </c>
      <c r="G76" s="1130">
        <f t="shared" si="26"/>
        <v>0</v>
      </c>
      <c r="H76" s="1130">
        <f t="shared" si="26"/>
        <v>0</v>
      </c>
      <c r="I76" s="1130">
        <f t="shared" si="26"/>
        <v>0</v>
      </c>
      <c r="J76" s="1130">
        <f t="shared" si="26"/>
        <v>0</v>
      </c>
      <c r="K76" s="1130">
        <f t="shared" si="26"/>
        <v>0</v>
      </c>
      <c r="L76" s="1130">
        <f t="shared" si="26"/>
        <v>0</v>
      </c>
      <c r="M76" s="1130">
        <f t="shared" si="26"/>
        <v>0</v>
      </c>
      <c r="N76" s="1130">
        <f t="shared" si="26"/>
        <v>0</v>
      </c>
      <c r="O76" s="1130"/>
      <c r="P76" s="1130"/>
      <c r="Q76"/>
      <c r="R76"/>
    </row>
    <row r="77" spans="1:18" ht="15">
      <c r="A77"/>
      <c r="B77" s="1120" t="s">
        <v>443</v>
      </c>
      <c r="C77" s="1120"/>
      <c r="D77" s="1130">
        <f t="shared" si="26"/>
        <v>0</v>
      </c>
      <c r="E77" s="1130">
        <f t="shared" si="26"/>
        <v>0</v>
      </c>
      <c r="F77" s="1130">
        <f t="shared" si="26"/>
        <v>0</v>
      </c>
      <c r="G77" s="1130">
        <f t="shared" si="26"/>
        <v>0</v>
      </c>
      <c r="H77" s="1130">
        <f t="shared" si="26"/>
        <v>0</v>
      </c>
      <c r="I77" s="1130">
        <f t="shared" si="26"/>
        <v>0</v>
      </c>
      <c r="J77" s="1130">
        <f t="shared" si="26"/>
        <v>0</v>
      </c>
      <c r="K77" s="1130">
        <f t="shared" si="26"/>
        <v>0</v>
      </c>
      <c r="L77" s="1130">
        <f t="shared" si="26"/>
        <v>0</v>
      </c>
      <c r="M77" s="1130">
        <f t="shared" si="26"/>
        <v>0</v>
      </c>
      <c r="N77" s="1130">
        <f t="shared" si="26"/>
        <v>0</v>
      </c>
      <c r="O77" s="1130"/>
      <c r="P77" s="1130"/>
      <c r="Q77"/>
      <c r="R77"/>
    </row>
    <row r="78" spans="1:18">
      <c r="A78"/>
      <c r="B78" s="1131" t="s">
        <v>360</v>
      </c>
      <c r="C78" s="1120"/>
      <c r="D78" s="1127">
        <f t="shared" si="26"/>
        <v>0</v>
      </c>
      <c r="E78" s="1127">
        <f t="shared" si="26"/>
        <v>0</v>
      </c>
      <c r="F78" s="1127">
        <f t="shared" si="26"/>
        <v>0</v>
      </c>
      <c r="G78" s="1127">
        <f t="shared" si="26"/>
        <v>0</v>
      </c>
      <c r="H78" s="1127">
        <f t="shared" si="26"/>
        <v>0</v>
      </c>
      <c r="I78" s="1127">
        <f t="shared" si="26"/>
        <v>0</v>
      </c>
      <c r="J78" s="1127">
        <f t="shared" si="26"/>
        <v>0</v>
      </c>
      <c r="K78" s="1127">
        <f t="shared" si="26"/>
        <v>0</v>
      </c>
      <c r="L78" s="1127">
        <f t="shared" si="26"/>
        <v>0</v>
      </c>
      <c r="M78" s="1127">
        <f t="shared" si="26"/>
        <v>0</v>
      </c>
      <c r="N78" s="1127">
        <f t="shared" si="26"/>
        <v>0</v>
      </c>
      <c r="O78" s="1127"/>
      <c r="P78" s="1127"/>
      <c r="Q78"/>
      <c r="R78"/>
    </row>
    <row r="79" spans="1:18">
      <c r="A79"/>
      <c r="B79" s="1128" t="s">
        <v>582</v>
      </c>
      <c r="C79" s="1120"/>
      <c r="D79" s="1127">
        <f t="shared" si="26"/>
        <v>0</v>
      </c>
      <c r="E79" s="1127">
        <f t="shared" si="26"/>
        <v>0</v>
      </c>
      <c r="F79" s="1127">
        <f t="shared" si="26"/>
        <v>0</v>
      </c>
      <c r="G79" s="1127">
        <f t="shared" si="26"/>
        <v>0</v>
      </c>
      <c r="H79" s="1127">
        <f t="shared" si="26"/>
        <v>0</v>
      </c>
      <c r="I79" s="1127">
        <f t="shared" si="26"/>
        <v>0</v>
      </c>
      <c r="J79" s="1127">
        <f t="shared" si="26"/>
        <v>0</v>
      </c>
      <c r="K79" s="1127">
        <f t="shared" si="26"/>
        <v>0</v>
      </c>
      <c r="L79" s="1127">
        <f t="shared" si="26"/>
        <v>0</v>
      </c>
      <c r="M79" s="1127">
        <f t="shared" si="26"/>
        <v>0</v>
      </c>
      <c r="N79" s="1127">
        <f t="shared" si="26"/>
        <v>0</v>
      </c>
      <c r="O79" s="1127"/>
      <c r="P79" s="1127"/>
      <c r="Q79"/>
      <c r="R79"/>
    </row>
    <row r="80" spans="1:18">
      <c r="A80"/>
      <c r="B80" s="1128" t="s">
        <v>583</v>
      </c>
      <c r="C80" s="1120"/>
      <c r="D80" s="1127">
        <f t="shared" si="26"/>
        <v>0</v>
      </c>
      <c r="E80" s="1127">
        <f t="shared" si="26"/>
        <v>0</v>
      </c>
      <c r="F80" s="1127">
        <f t="shared" si="26"/>
        <v>0</v>
      </c>
      <c r="G80" s="1127">
        <f t="shared" si="26"/>
        <v>0</v>
      </c>
      <c r="H80" s="1127">
        <f t="shared" si="26"/>
        <v>0</v>
      </c>
      <c r="I80" s="1127">
        <f t="shared" si="26"/>
        <v>0</v>
      </c>
      <c r="J80" s="1127">
        <f t="shared" si="26"/>
        <v>0</v>
      </c>
      <c r="K80" s="1127">
        <f t="shared" si="26"/>
        <v>0</v>
      </c>
      <c r="L80" s="1127">
        <f t="shared" si="26"/>
        <v>0</v>
      </c>
      <c r="M80" s="1127">
        <f t="shared" si="26"/>
        <v>0</v>
      </c>
      <c r="N80" s="1127">
        <f t="shared" si="26"/>
        <v>0</v>
      </c>
      <c r="O80" s="1127"/>
      <c r="P80" s="1127"/>
      <c r="Q80"/>
      <c r="R80"/>
    </row>
    <row r="81" spans="1:18">
      <c r="A81"/>
      <c r="B81" s="1128" t="s">
        <v>584</v>
      </c>
      <c r="C81" s="1120"/>
      <c r="D81" s="1127">
        <f t="shared" si="26"/>
        <v>0</v>
      </c>
      <c r="E81" s="1127">
        <f t="shared" si="26"/>
        <v>0</v>
      </c>
      <c r="F81" s="1127">
        <f t="shared" si="26"/>
        <v>0</v>
      </c>
      <c r="G81" s="1127">
        <f t="shared" si="26"/>
        <v>0</v>
      </c>
      <c r="H81" s="1127">
        <f t="shared" si="26"/>
        <v>0</v>
      </c>
      <c r="I81" s="1127">
        <f t="shared" si="26"/>
        <v>0</v>
      </c>
      <c r="J81" s="1127">
        <f t="shared" si="26"/>
        <v>0</v>
      </c>
      <c r="K81" s="1127">
        <f t="shared" si="26"/>
        <v>0</v>
      </c>
      <c r="L81" s="1127">
        <f t="shared" si="26"/>
        <v>0</v>
      </c>
      <c r="M81" s="1127">
        <f t="shared" si="26"/>
        <v>0</v>
      </c>
      <c r="N81" s="1127">
        <f t="shared" si="26"/>
        <v>0</v>
      </c>
      <c r="O81" s="1127"/>
      <c r="P81" s="1127"/>
      <c r="Q81"/>
      <c r="R81"/>
    </row>
    <row r="82" spans="1:18" ht="15">
      <c r="A82"/>
      <c r="B82" s="1128" t="s">
        <v>580</v>
      </c>
      <c r="C82" s="1120"/>
      <c r="D82" s="1129">
        <f t="shared" si="26"/>
        <v>0</v>
      </c>
      <c r="E82" s="1129">
        <f t="shared" si="26"/>
        <v>0</v>
      </c>
      <c r="F82" s="1129">
        <f t="shared" si="26"/>
        <v>0</v>
      </c>
      <c r="G82" s="1129">
        <f t="shared" si="26"/>
        <v>0</v>
      </c>
      <c r="H82" s="1129">
        <f t="shared" si="26"/>
        <v>0</v>
      </c>
      <c r="I82" s="1129">
        <f t="shared" si="26"/>
        <v>0</v>
      </c>
      <c r="J82" s="1129">
        <f t="shared" si="26"/>
        <v>0</v>
      </c>
      <c r="K82" s="1129">
        <f t="shared" si="26"/>
        <v>0</v>
      </c>
      <c r="L82" s="1129">
        <f t="shared" si="26"/>
        <v>0</v>
      </c>
      <c r="M82" s="1129">
        <f t="shared" si="26"/>
        <v>-23562884.360971451</v>
      </c>
      <c r="N82" s="1129">
        <f t="shared" si="26"/>
        <v>-23562884.360971451</v>
      </c>
      <c r="O82" s="1129"/>
      <c r="P82" s="1129"/>
      <c r="Q82"/>
      <c r="R82"/>
    </row>
    <row r="83" spans="1:18">
      <c r="A83"/>
      <c r="B83" s="1132" t="s">
        <v>581</v>
      </c>
      <c r="C83" s="1132"/>
      <c r="D83" s="1132">
        <f t="shared" si="26"/>
        <v>0</v>
      </c>
      <c r="E83" s="1132">
        <f t="shared" si="26"/>
        <v>0</v>
      </c>
      <c r="F83" s="1132">
        <f t="shared" si="26"/>
        <v>0</v>
      </c>
      <c r="G83" s="1132">
        <f t="shared" si="26"/>
        <v>0</v>
      </c>
      <c r="H83" s="1132">
        <f t="shared" si="26"/>
        <v>0</v>
      </c>
      <c r="I83" s="1132">
        <f t="shared" si="26"/>
        <v>0</v>
      </c>
      <c r="J83" s="1132">
        <f t="shared" si="26"/>
        <v>0</v>
      </c>
      <c r="K83" s="1132">
        <f t="shared" si="26"/>
        <v>0</v>
      </c>
      <c r="L83" s="1132">
        <f t="shared" si="26"/>
        <v>0</v>
      </c>
      <c r="M83" s="1132">
        <f t="shared" si="26"/>
        <v>0</v>
      </c>
      <c r="N83" s="1132">
        <f t="shared" si="26"/>
        <v>0</v>
      </c>
      <c r="O83" s="1132"/>
      <c r="P83" s="1132"/>
      <c r="Q83"/>
      <c r="R83"/>
    </row>
    <row r="84" spans="1:18">
      <c r="A84"/>
      <c r="B84" s="1133" t="s">
        <v>585</v>
      </c>
      <c r="C84" s="1132">
        <v>3.8733999999999998E-2</v>
      </c>
      <c r="D84" s="1134">
        <f t="shared" si="26"/>
        <v>0</v>
      </c>
      <c r="E84" s="1134">
        <f t="shared" si="26"/>
        <v>0</v>
      </c>
      <c r="F84" s="1134">
        <f t="shared" si="26"/>
        <v>0</v>
      </c>
      <c r="G84" s="1134">
        <f t="shared" si="26"/>
        <v>0</v>
      </c>
      <c r="H84" s="1134">
        <f t="shared" si="26"/>
        <v>0</v>
      </c>
      <c r="I84" s="1134">
        <f t="shared" si="26"/>
        <v>0</v>
      </c>
      <c r="J84" s="1134">
        <f t="shared" si="26"/>
        <v>0</v>
      </c>
      <c r="K84" s="1134">
        <f t="shared" si="26"/>
        <v>0</v>
      </c>
      <c r="L84" s="1134">
        <f t="shared" si="26"/>
        <v>0</v>
      </c>
      <c r="M84" s="1134">
        <f t="shared" si="26"/>
        <v>0</v>
      </c>
      <c r="N84" s="1134">
        <f t="shared" si="26"/>
        <v>0</v>
      </c>
      <c r="O84" s="1134"/>
      <c r="P84" s="1134"/>
      <c r="Q84"/>
      <c r="R84"/>
    </row>
    <row r="85" spans="1:18">
      <c r="A85"/>
      <c r="B85" s="1128" t="s">
        <v>586</v>
      </c>
      <c r="C85" s="1132"/>
      <c r="D85" s="1135">
        <f t="shared" si="26"/>
        <v>0</v>
      </c>
      <c r="E85" s="1135">
        <f t="shared" si="26"/>
        <v>0</v>
      </c>
      <c r="F85" s="1135">
        <f t="shared" si="26"/>
        <v>0</v>
      </c>
      <c r="G85" s="1135">
        <f t="shared" si="26"/>
        <v>0</v>
      </c>
      <c r="H85" s="1135">
        <f t="shared" si="26"/>
        <v>0</v>
      </c>
      <c r="I85" s="1135">
        <f t="shared" si="26"/>
        <v>0</v>
      </c>
      <c r="J85" s="1135">
        <f t="shared" si="26"/>
        <v>0</v>
      </c>
      <c r="K85" s="1135">
        <f t="shared" si="26"/>
        <v>0</v>
      </c>
      <c r="L85" s="1135">
        <f t="shared" si="26"/>
        <v>0</v>
      </c>
      <c r="M85" s="1135">
        <f t="shared" si="26"/>
        <v>-23562884.360971451</v>
      </c>
      <c r="N85" s="1135">
        <f t="shared" si="26"/>
        <v>-23562884.360971451</v>
      </c>
      <c r="O85" s="1135"/>
      <c r="P85" s="1135"/>
      <c r="Q85"/>
      <c r="R85"/>
    </row>
    <row r="86" spans="1:18">
      <c r="A86"/>
      <c r="B86" s="1133" t="s">
        <v>581</v>
      </c>
      <c r="C86" s="1132"/>
      <c r="D86" s="1136">
        <f t="shared" si="26"/>
        <v>0</v>
      </c>
      <c r="E86" s="1136">
        <f t="shared" si="26"/>
        <v>0</v>
      </c>
      <c r="F86" s="1136">
        <f t="shared" si="26"/>
        <v>0</v>
      </c>
      <c r="G86" s="1136">
        <f t="shared" si="26"/>
        <v>0</v>
      </c>
      <c r="H86" s="1136">
        <f t="shared" si="26"/>
        <v>0</v>
      </c>
      <c r="I86" s="1136">
        <f t="shared" si="26"/>
        <v>0</v>
      </c>
      <c r="J86" s="1136">
        <f t="shared" si="26"/>
        <v>0</v>
      </c>
      <c r="K86" s="1136">
        <f t="shared" si="26"/>
        <v>0</v>
      </c>
      <c r="L86" s="1136">
        <f t="shared" si="26"/>
        <v>0</v>
      </c>
      <c r="M86" s="1136">
        <f t="shared" si="26"/>
        <v>0</v>
      </c>
      <c r="N86" s="1136">
        <f t="shared" si="26"/>
        <v>0</v>
      </c>
      <c r="O86" s="1136"/>
      <c r="P86" s="1136"/>
      <c r="Q86"/>
      <c r="R86"/>
    </row>
    <row r="87" spans="1:18">
      <c r="A87"/>
      <c r="B87" s="1132" t="s">
        <v>587</v>
      </c>
      <c r="C87" s="1137">
        <v>0.21</v>
      </c>
      <c r="D87" s="1136">
        <f t="shared" si="26"/>
        <v>0</v>
      </c>
      <c r="E87" s="1136">
        <f t="shared" si="26"/>
        <v>0</v>
      </c>
      <c r="F87" s="1136">
        <f t="shared" si="26"/>
        <v>0</v>
      </c>
      <c r="G87" s="1136">
        <f t="shared" si="26"/>
        <v>0</v>
      </c>
      <c r="H87" s="1136">
        <f t="shared" si="26"/>
        <v>0</v>
      </c>
      <c r="I87" s="1136">
        <f t="shared" si="26"/>
        <v>0</v>
      </c>
      <c r="J87" s="1136">
        <f t="shared" si="26"/>
        <v>0</v>
      </c>
      <c r="K87" s="1136">
        <f t="shared" si="26"/>
        <v>0</v>
      </c>
      <c r="L87" s="1136">
        <f t="shared" si="26"/>
        <v>0</v>
      </c>
      <c r="M87" s="1136">
        <f t="shared" si="26"/>
        <v>4948205.7158040032</v>
      </c>
      <c r="N87" s="1136">
        <f t="shared" si="26"/>
        <v>4948205.7158040106</v>
      </c>
      <c r="O87" s="1136"/>
      <c r="P87" s="1136"/>
      <c r="Q87"/>
      <c r="R87"/>
    </row>
    <row r="88" spans="1:18" ht="13.5" thickBot="1">
      <c r="A88"/>
      <c r="B88" s="1132" t="s">
        <v>588</v>
      </c>
      <c r="C88" s="1132"/>
      <c r="D88" s="1138">
        <f t="shared" si="26"/>
        <v>0</v>
      </c>
      <c r="E88" s="1138">
        <f t="shared" si="26"/>
        <v>0</v>
      </c>
      <c r="F88" s="1138">
        <f t="shared" si="26"/>
        <v>0</v>
      </c>
      <c r="G88" s="1138">
        <f t="shared" si="26"/>
        <v>0</v>
      </c>
      <c r="H88" s="1138">
        <f t="shared" si="26"/>
        <v>0</v>
      </c>
      <c r="I88" s="1138">
        <f t="shared" si="26"/>
        <v>0</v>
      </c>
      <c r="J88" s="1138">
        <f t="shared" si="26"/>
        <v>0</v>
      </c>
      <c r="K88" s="1138">
        <f t="shared" si="26"/>
        <v>0</v>
      </c>
      <c r="L88" s="1138">
        <f t="shared" si="26"/>
        <v>0</v>
      </c>
      <c r="M88" s="1138">
        <f t="shared" si="26"/>
        <v>18614678.64516747</v>
      </c>
      <c r="N88" s="1138">
        <f t="shared" si="26"/>
        <v>18614678.645167351</v>
      </c>
      <c r="O88" s="1138"/>
      <c r="P88" s="1138"/>
      <c r="Q88"/>
      <c r="R88"/>
    </row>
    <row r="89" spans="1:18" ht="13.5" thickTop="1">
      <c r="A89" s="13"/>
      <c r="B89"/>
      <c r="C89"/>
      <c r="D89"/>
      <c r="E89"/>
      <c r="F89"/>
      <c r="G89"/>
      <c r="H89"/>
      <c r="I89"/>
      <c r="J89"/>
    </row>
    <row r="90" spans="1:18">
      <c r="A90" s="13"/>
      <c r="B90"/>
      <c r="C90"/>
      <c r="D90"/>
      <c r="E90"/>
      <c r="F90"/>
      <c r="G90"/>
      <c r="H90"/>
      <c r="I90"/>
      <c r="J90"/>
    </row>
    <row r="91" spans="1:18">
      <c r="A91" s="13"/>
      <c r="B91"/>
      <c r="C91"/>
      <c r="D91"/>
      <c r="E91"/>
      <c r="F91"/>
      <c r="G91"/>
      <c r="H91"/>
      <c r="I91"/>
      <c r="J91"/>
    </row>
    <row r="92" spans="1:18">
      <c r="A92" s="13"/>
      <c r="B92"/>
      <c r="C92"/>
      <c r="D92"/>
      <c r="E92"/>
      <c r="F92"/>
      <c r="G92"/>
      <c r="H92"/>
      <c r="I92"/>
      <c r="J92"/>
    </row>
    <row r="93" spans="1:18">
      <c r="A93" s="13"/>
      <c r="B93"/>
      <c r="C93"/>
      <c r="D93"/>
      <c r="E93"/>
      <c r="F93"/>
      <c r="G93"/>
      <c r="H93"/>
      <c r="I93"/>
      <c r="J9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6"/>
  <sheetViews>
    <sheetView workbookViewId="0">
      <pane xSplit="4" ySplit="12" topLeftCell="E34" activePane="bottomRight" state="frozen"/>
      <selection activeCell="B16" sqref="A1:S840"/>
      <selection pane="topRight" activeCell="B16" sqref="A1:S840"/>
      <selection pane="bottomLeft" activeCell="B16" sqref="A1:S840"/>
      <selection pane="bottomRight" activeCell="A7" sqref="A7"/>
    </sheetView>
  </sheetViews>
  <sheetFormatPr defaultColWidth="9.140625" defaultRowHeight="12.75"/>
  <cols>
    <col min="1" max="1" width="4.5703125" style="26" customWidth="1"/>
    <col min="2" max="2" width="6.7109375" style="27" bestFit="1" customWidth="1"/>
    <col min="3" max="3" width="5.7109375" style="27" customWidth="1"/>
    <col min="4" max="4" width="40.7109375" style="26" customWidth="1"/>
    <col min="5" max="5" width="14.7109375" style="26" bestFit="1" customWidth="1"/>
    <col min="6" max="6" width="10" style="26" bestFit="1" customWidth="1"/>
    <col min="7" max="7" width="10.42578125" style="26" bestFit="1" customWidth="1"/>
    <col min="8" max="8" width="14.5703125" style="26" bestFit="1" customWidth="1"/>
    <col min="9" max="9" width="10" style="26" bestFit="1" customWidth="1"/>
    <col min="10" max="10" width="11.28515625" style="26" bestFit="1" customWidth="1"/>
    <col min="11" max="11" width="1.7109375" style="26" customWidth="1"/>
    <col min="12" max="12" width="15.5703125" style="26" bestFit="1" customWidth="1"/>
    <col min="13" max="13" width="10.42578125" style="26" bestFit="1" customWidth="1"/>
    <col min="14" max="14" width="9.5703125" style="26" bestFit="1" customWidth="1"/>
    <col min="15" max="15" width="17.85546875" style="26" bestFit="1" customWidth="1"/>
    <col min="16" max="16" width="2" style="26" customWidth="1"/>
    <col min="17" max="17" width="14.140625" style="26" bestFit="1" customWidth="1"/>
    <col min="18" max="18" width="10.42578125" style="26" bestFit="1" customWidth="1"/>
    <col min="19" max="19" width="9.5703125" bestFit="1" customWidth="1"/>
    <col min="20" max="20" width="14.140625" bestFit="1" customWidth="1"/>
    <col min="21" max="21" width="2.140625" style="26" customWidth="1"/>
    <col min="22" max="22" width="18.140625" style="26" bestFit="1" customWidth="1"/>
    <col min="23" max="23" width="13.5703125" style="26" bestFit="1" customWidth="1"/>
    <col min="24" max="24" width="10.7109375" style="26" bestFit="1" customWidth="1"/>
    <col min="25" max="16384" width="9.140625" style="26"/>
  </cols>
  <sheetData>
    <row r="1" spans="1:76">
      <c r="O1"/>
      <c r="P1"/>
      <c r="Q1"/>
    </row>
    <row r="2" spans="1:76" ht="18.75">
      <c r="A2" s="28" t="s">
        <v>368</v>
      </c>
      <c r="O2"/>
      <c r="P2"/>
      <c r="Q2"/>
      <c r="R2" s="13"/>
      <c r="U2" s="13"/>
    </row>
    <row r="3" spans="1:76" ht="18.75">
      <c r="A3" s="28" t="s">
        <v>367</v>
      </c>
      <c r="O3"/>
      <c r="P3"/>
      <c r="Q3"/>
      <c r="R3" s="13"/>
      <c r="U3" s="13"/>
    </row>
    <row r="4" spans="1:76" ht="18.75">
      <c r="A4" s="28" t="s">
        <v>536</v>
      </c>
      <c r="O4"/>
      <c r="P4"/>
      <c r="R4" s="13"/>
      <c r="U4" s="13"/>
    </row>
    <row r="5" spans="1:76" ht="18.75">
      <c r="A5" s="28" t="s">
        <v>606</v>
      </c>
      <c r="O5"/>
      <c r="P5"/>
      <c r="R5" s="13"/>
      <c r="U5"/>
      <c r="V5"/>
      <c r="W5"/>
    </row>
    <row r="6" spans="1:76" ht="18.75">
      <c r="A6" s="28" t="s">
        <v>607</v>
      </c>
      <c r="O6"/>
      <c r="P6"/>
      <c r="R6" s="13"/>
      <c r="U6"/>
      <c r="V6"/>
      <c r="W6"/>
    </row>
    <row r="7" spans="1:76" ht="18.75">
      <c r="A7" s="28"/>
      <c r="O7"/>
      <c r="P7"/>
      <c r="R7" s="13"/>
      <c r="U7"/>
      <c r="V7"/>
      <c r="W7"/>
    </row>
    <row r="8" spans="1:76" ht="15">
      <c r="D8" s="703" t="s">
        <v>555</v>
      </c>
      <c r="E8" s="417" t="s">
        <v>591</v>
      </c>
      <c r="O8"/>
      <c r="P8"/>
      <c r="R8"/>
      <c r="U8"/>
      <c r="V8"/>
      <c r="W8"/>
    </row>
    <row r="9" spans="1:76">
      <c r="E9" s="905" t="s">
        <v>1488</v>
      </c>
      <c r="O9"/>
      <c r="P9"/>
      <c r="R9"/>
      <c r="U9"/>
      <c r="V9"/>
      <c r="W9"/>
    </row>
    <row r="10" spans="1:76">
      <c r="E10" s="729" t="s">
        <v>660</v>
      </c>
      <c r="F10" s="27" t="s">
        <v>551</v>
      </c>
      <c r="G10" s="27" t="s">
        <v>551</v>
      </c>
      <c r="H10" s="729">
        <v>-1</v>
      </c>
      <c r="I10" s="27" t="s">
        <v>550</v>
      </c>
      <c r="J10" s="729" t="s">
        <v>557</v>
      </c>
      <c r="O10" s="729"/>
      <c r="P10"/>
      <c r="R10"/>
      <c r="T10" s="729"/>
      <c r="U10"/>
      <c r="V10" s="911" t="s">
        <v>1497</v>
      </c>
      <c r="W10" s="911" t="s">
        <v>264</v>
      </c>
    </row>
    <row r="11" spans="1:76">
      <c r="E11" s="729" t="s">
        <v>537</v>
      </c>
      <c r="F11" s="27" t="s">
        <v>552</v>
      </c>
      <c r="G11" s="27" t="s">
        <v>552</v>
      </c>
      <c r="H11" s="729" t="s">
        <v>590</v>
      </c>
      <c r="I11" s="27" t="s">
        <v>554</v>
      </c>
      <c r="J11" s="729" t="s">
        <v>558</v>
      </c>
      <c r="K11" s="27"/>
      <c r="L11" s="27" t="s">
        <v>596</v>
      </c>
      <c r="M11" s="27" t="s">
        <v>366</v>
      </c>
      <c r="N11" s="27" t="s">
        <v>366</v>
      </c>
      <c r="O11" s="729" t="s">
        <v>462</v>
      </c>
      <c r="P11"/>
      <c r="Q11" s="1072" t="s">
        <v>1505</v>
      </c>
      <c r="R11" s="27" t="s">
        <v>366</v>
      </c>
      <c r="S11" s="27" t="s">
        <v>366</v>
      </c>
      <c r="T11" s="729" t="s">
        <v>463</v>
      </c>
      <c r="U11"/>
      <c r="V11" s="911" t="s">
        <v>463</v>
      </c>
      <c r="W11" s="911"/>
    </row>
    <row r="12" spans="1:76">
      <c r="A12" s="26" t="s">
        <v>365</v>
      </c>
      <c r="B12" s="27" t="s">
        <v>364</v>
      </c>
      <c r="C12" s="27" t="s">
        <v>363</v>
      </c>
      <c r="D12" s="26" t="s">
        <v>362</v>
      </c>
      <c r="E12" s="729" t="s">
        <v>444</v>
      </c>
      <c r="F12" s="27" t="s">
        <v>553</v>
      </c>
      <c r="G12" s="27" t="s">
        <v>661</v>
      </c>
      <c r="H12" s="729" t="s">
        <v>589</v>
      </c>
      <c r="I12" s="27" t="s">
        <v>414</v>
      </c>
      <c r="J12" s="729" t="s">
        <v>559</v>
      </c>
      <c r="K12" s="27"/>
      <c r="L12" s="27" t="s">
        <v>538</v>
      </c>
      <c r="M12" s="27" t="s">
        <v>434</v>
      </c>
      <c r="N12" s="27" t="s">
        <v>435</v>
      </c>
      <c r="O12" s="729" t="s">
        <v>538</v>
      </c>
      <c r="P12"/>
      <c r="Q12" s="27" t="s">
        <v>597</v>
      </c>
      <c r="R12" s="27" t="s">
        <v>434</v>
      </c>
      <c r="S12" s="27" t="s">
        <v>435</v>
      </c>
      <c r="T12" s="729" t="s">
        <v>597</v>
      </c>
      <c r="U12"/>
      <c r="V12" s="911" t="s">
        <v>597</v>
      </c>
      <c r="W12" s="911"/>
    </row>
    <row r="13" spans="1:76">
      <c r="A13" s="27">
        <v>1</v>
      </c>
      <c r="D13" s="26" t="b">
        <v>1</v>
      </c>
      <c r="E13" s="730"/>
      <c r="F13" s="29"/>
      <c r="G13" s="29"/>
      <c r="H13" s="730"/>
      <c r="I13" s="29"/>
      <c r="J13" s="730"/>
      <c r="K13" s="29"/>
      <c r="L13" s="29"/>
      <c r="M13" s="29"/>
      <c r="N13" s="29"/>
      <c r="O13" s="730"/>
      <c r="P13"/>
      <c r="Q13" s="29"/>
      <c r="R13" s="29"/>
      <c r="S13" s="29"/>
      <c r="T13" s="730"/>
      <c r="U13"/>
      <c r="V13" s="912"/>
      <c r="W13" s="912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</row>
    <row r="14" spans="1:76">
      <c r="A14" s="27">
        <f>+A13+1</f>
        <v>2</v>
      </c>
      <c r="D14" s="30" t="s">
        <v>436</v>
      </c>
      <c r="E14" s="730"/>
      <c r="F14" s="29"/>
      <c r="G14" s="29"/>
      <c r="H14" s="730"/>
      <c r="I14" s="29"/>
      <c r="J14" s="730"/>
      <c r="K14" s="29"/>
      <c r="L14" s="29"/>
      <c r="M14" s="29"/>
      <c r="N14" s="29"/>
      <c r="O14" s="730"/>
      <c r="P14"/>
      <c r="Q14" s="29"/>
      <c r="R14" s="29"/>
      <c r="S14" s="29"/>
      <c r="T14" s="730"/>
      <c r="U14"/>
      <c r="V14" s="912"/>
      <c r="W14" s="912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</row>
    <row r="15" spans="1:76">
      <c r="A15" s="27">
        <f t="shared" ref="A15:A17" si="0">+A14+1</f>
        <v>3</v>
      </c>
      <c r="B15" s="31">
        <v>501</v>
      </c>
      <c r="C15" s="31" t="s">
        <v>353</v>
      </c>
      <c r="D15" s="26" t="s">
        <v>432</v>
      </c>
      <c r="E15" s="730">
        <v>40481079.530000001</v>
      </c>
      <c r="F15" s="29"/>
      <c r="G15" s="29"/>
      <c r="H15" s="730">
        <f t="shared" ref="H15:H23" si="1">SUM(E15:G15)</f>
        <v>40481079.530000001</v>
      </c>
      <c r="I15" s="29"/>
      <c r="J15" s="730">
        <f>SUM(H15:I15)</f>
        <v>40481079.530000001</v>
      </c>
      <c r="K15" s="29"/>
      <c r="L15" s="29">
        <f>'2023'!C7*1000</f>
        <v>65690561.13598755</v>
      </c>
      <c r="M15" s="29"/>
      <c r="N15" s="29"/>
      <c r="O15" s="730">
        <f t="shared" ref="O15:O23" si="2">SUM(L15:N15)</f>
        <v>65690561.13598755</v>
      </c>
      <c r="P15"/>
      <c r="Q15" s="906">
        <f>+'2024 (NEW)'!C7*1000</f>
        <v>55531891.799999997</v>
      </c>
      <c r="R15" s="29"/>
      <c r="S15" s="29"/>
      <c r="T15" s="730">
        <f t="shared" ref="T15:T23" si="3">SUM(Q15:S15)</f>
        <v>55531891.799999997</v>
      </c>
      <c r="U15"/>
      <c r="V15" s="912">
        <v>65690561.13598755</v>
      </c>
      <c r="W15" s="912">
        <f>+T15-V15</f>
        <v>-10158669.335987553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>
      <c r="A16" s="27">
        <f>+A15+1</f>
        <v>4</v>
      </c>
      <c r="B16" s="31">
        <v>547</v>
      </c>
      <c r="C16" s="31" t="s">
        <v>353</v>
      </c>
      <c r="D16" s="26" t="s">
        <v>433</v>
      </c>
      <c r="E16" s="730">
        <v>178893364.00999999</v>
      </c>
      <c r="F16" s="29"/>
      <c r="G16" s="29"/>
      <c r="H16" s="730">
        <f t="shared" si="1"/>
        <v>178893364.00999999</v>
      </c>
      <c r="I16" s="29"/>
      <c r="J16" s="730">
        <f t="shared" ref="J16:J23" si="4">SUM(H16:I16)</f>
        <v>178893364.00999999</v>
      </c>
      <c r="K16" s="29"/>
      <c r="L16" s="29">
        <f>'2023'!C8*1000</f>
        <v>500342454.47306603</v>
      </c>
      <c r="M16" s="29"/>
      <c r="N16" s="29"/>
      <c r="O16" s="730">
        <f t="shared" si="2"/>
        <v>500342454.47306603</v>
      </c>
      <c r="P16"/>
      <c r="Q16" s="906">
        <f>+'2024 (NEW)'!C8*1000</f>
        <v>324050146.69745833</v>
      </c>
      <c r="R16" s="29"/>
      <c r="S16" s="29"/>
      <c r="T16" s="730">
        <f t="shared" si="3"/>
        <v>324050146.69745833</v>
      </c>
      <c r="U16"/>
      <c r="V16" s="912">
        <v>500342454.47306603</v>
      </c>
      <c r="W16" s="912">
        <f t="shared" ref="W16:W31" si="5">+T16-V16</f>
        <v>-176292307.77560771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>
      <c r="A17" s="27">
        <f t="shared" si="0"/>
        <v>5</v>
      </c>
      <c r="B17" s="31">
        <v>555</v>
      </c>
      <c r="C17" s="31" t="s">
        <v>353</v>
      </c>
      <c r="D17" s="26" t="s">
        <v>437</v>
      </c>
      <c r="E17" s="730">
        <v>621116982.74000001</v>
      </c>
      <c r="F17" s="29"/>
      <c r="G17" s="29"/>
      <c r="H17" s="730">
        <f t="shared" si="1"/>
        <v>621116982.74000001</v>
      </c>
      <c r="I17" s="29">
        <f>+'Summary Normalization'!$N$8</f>
        <v>15058669.78762592</v>
      </c>
      <c r="J17" s="730">
        <f t="shared" si="4"/>
        <v>636175652.52762592</v>
      </c>
      <c r="K17" s="29"/>
      <c r="L17" s="29">
        <f>SUM('2023'!C9:C12)*1000</f>
        <v>827603384.29048145</v>
      </c>
      <c r="M17" s="29"/>
      <c r="N17" s="29"/>
      <c r="O17" s="730">
        <f t="shared" si="2"/>
        <v>827603384.29048145</v>
      </c>
      <c r="P17"/>
      <c r="Q17" s="906">
        <f>SUM('2024 (NEW)'!C9:C12)*1000</f>
        <v>930693146.31284964</v>
      </c>
      <c r="R17" s="29"/>
      <c r="S17" s="29"/>
      <c r="T17" s="730">
        <f t="shared" si="3"/>
        <v>930693146.31284964</v>
      </c>
      <c r="U17"/>
      <c r="V17" s="912">
        <v>836497640.43728137</v>
      </c>
      <c r="W17" s="912">
        <f t="shared" si="5"/>
        <v>94195505.875568271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>
      <c r="A18" s="27">
        <f>+A17+1</f>
        <v>6</v>
      </c>
      <c r="B18" s="31">
        <v>557</v>
      </c>
      <c r="C18" s="31" t="s">
        <v>353</v>
      </c>
      <c r="D18" s="26" t="s">
        <v>1496</v>
      </c>
      <c r="E18" s="730"/>
      <c r="F18" s="29"/>
      <c r="G18" s="29"/>
      <c r="H18" s="730">
        <f t="shared" si="1"/>
        <v>0</v>
      </c>
      <c r="I18" s="29"/>
      <c r="J18" s="730">
        <f t="shared" si="4"/>
        <v>0</v>
      </c>
      <c r="K18" s="29"/>
      <c r="L18" s="910" t="s">
        <v>354</v>
      </c>
      <c r="M18" s="29"/>
      <c r="N18" s="29"/>
      <c r="O18" s="730">
        <f t="shared" si="2"/>
        <v>0</v>
      </c>
      <c r="P18"/>
      <c r="Q18" s="906">
        <f>+'2024 (NEW)'!C16*1000</f>
        <v>11391237.017779689</v>
      </c>
      <c r="R18" s="29"/>
      <c r="S18" s="29"/>
      <c r="T18" s="730">
        <f t="shared" si="3"/>
        <v>11391237.017779689</v>
      </c>
      <c r="U18"/>
      <c r="V18" s="912"/>
      <c r="W18" s="912">
        <f t="shared" si="5"/>
        <v>11391237.017779689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>
      <c r="A19" s="27">
        <f t="shared" ref="A19:A31" si="6">+A18+1</f>
        <v>7</v>
      </c>
      <c r="B19" s="31">
        <v>557</v>
      </c>
      <c r="C19" s="31" t="s">
        <v>356</v>
      </c>
      <c r="D19" s="26" t="s">
        <v>438</v>
      </c>
      <c r="E19" s="730">
        <v>9809895.5299999993</v>
      </c>
      <c r="F19" s="29">
        <v>-4150848.83</v>
      </c>
      <c r="G19" s="29">
        <v>-26176970.140000001</v>
      </c>
      <c r="H19" s="730">
        <f t="shared" si="1"/>
        <v>-20517923.440000001</v>
      </c>
      <c r="I19" s="29">
        <f>+'Summary Normalization'!$N$10</f>
        <v>-8852626.7315418422</v>
      </c>
      <c r="J19" s="730">
        <f t="shared" si="4"/>
        <v>-29370550.171541844</v>
      </c>
      <c r="K19" s="29"/>
      <c r="L19" s="29">
        <f>+('2023'!C16*1000)-L20</f>
        <v>16190205.927277483</v>
      </c>
      <c r="M19" s="29">
        <f>-'B&amp;T 557 Forecast'!D14</f>
        <v>-2290894.7199976346</v>
      </c>
      <c r="N19" s="29">
        <f>+-'B&amp;T 557 Forecast'!C14</f>
        <v>-621859.05166324007</v>
      </c>
      <c r="O19" s="730">
        <f t="shared" si="2"/>
        <v>13277452.155616608</v>
      </c>
      <c r="P19"/>
      <c r="Q19" s="906">
        <f>+('2024 (NEW)'!C17*1000)-Q20</f>
        <v>16620049.40254993</v>
      </c>
      <c r="R19" s="29">
        <f>-'B&amp;T 557 Forecast'!D15</f>
        <v>-2351534.8287420981</v>
      </c>
      <c r="S19" s="29">
        <f>-'B&amp;T 557 Forecast'!C15</f>
        <v>-638319.69482916733</v>
      </c>
      <c r="T19" s="730">
        <f t="shared" si="3"/>
        <v>13630194.878978664</v>
      </c>
      <c r="U19"/>
      <c r="V19" s="912">
        <v>13630194.878978664</v>
      </c>
      <c r="W19" s="912">
        <f t="shared" si="5"/>
        <v>0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>
      <c r="A20" s="27">
        <f t="shared" si="6"/>
        <v>8</v>
      </c>
      <c r="B20" s="31">
        <v>557</v>
      </c>
      <c r="C20" s="31" t="s">
        <v>353</v>
      </c>
      <c r="D20" s="26" t="s">
        <v>439</v>
      </c>
      <c r="E20" s="730">
        <f>+'TY Orders'!B14</f>
        <v>509160.25</v>
      </c>
      <c r="F20" s="29"/>
      <c r="G20" s="29"/>
      <c r="H20" s="730">
        <f t="shared" si="1"/>
        <v>509160.25</v>
      </c>
      <c r="I20" s="29"/>
      <c r="J20" s="730">
        <f t="shared" si="4"/>
        <v>509160.25</v>
      </c>
      <c r="K20" s="29"/>
      <c r="L20" s="29">
        <f>+E20*1.024</f>
        <v>521380.09600000002</v>
      </c>
      <c r="M20" s="29"/>
      <c r="N20" s="29"/>
      <c r="O20" s="730">
        <f t="shared" si="2"/>
        <v>521380.09600000002</v>
      </c>
      <c r="P20"/>
      <c r="Q20" s="906">
        <f>+O20*1.024</f>
        <v>533893.21830399998</v>
      </c>
      <c r="R20" s="29"/>
      <c r="S20" s="29"/>
      <c r="T20" s="730">
        <f t="shared" si="3"/>
        <v>533893.21830399998</v>
      </c>
      <c r="U20"/>
      <c r="V20" s="912">
        <v>533893.21830399998</v>
      </c>
      <c r="W20" s="912">
        <f t="shared" si="5"/>
        <v>0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>
      <c r="A21" s="27">
        <f t="shared" si="6"/>
        <v>9</v>
      </c>
      <c r="B21" s="31">
        <v>565</v>
      </c>
      <c r="C21" s="31" t="s">
        <v>353</v>
      </c>
      <c r="D21" s="26" t="s">
        <v>440</v>
      </c>
      <c r="E21" s="730">
        <v>123773668.73999999</v>
      </c>
      <c r="F21" s="29"/>
      <c r="G21" s="29"/>
      <c r="H21" s="730">
        <f t="shared" si="1"/>
        <v>123773668.73999999</v>
      </c>
      <c r="I21" s="29"/>
      <c r="J21" s="730">
        <f t="shared" si="4"/>
        <v>123773668.73999999</v>
      </c>
      <c r="K21" s="29"/>
      <c r="L21" s="29">
        <f>'2023'!C14*1000</f>
        <v>135051870.15063089</v>
      </c>
      <c r="M21" s="29"/>
      <c r="N21" s="29"/>
      <c r="O21" s="730">
        <f t="shared" si="2"/>
        <v>135051870.15063089</v>
      </c>
      <c r="P21"/>
      <c r="Q21" s="906">
        <f>+'2024 (NEW)'!C14*1000</f>
        <v>153226726.55457237</v>
      </c>
      <c r="R21" s="29"/>
      <c r="S21" s="29"/>
      <c r="T21" s="730">
        <f t="shared" si="3"/>
        <v>153226726.55457237</v>
      </c>
      <c r="U21"/>
      <c r="V21" s="912">
        <v>135051870.15063089</v>
      </c>
      <c r="W21" s="912">
        <f t="shared" si="5"/>
        <v>18174856.403941482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>
      <c r="A22" s="27">
        <f t="shared" si="6"/>
        <v>10</v>
      </c>
      <c r="B22" s="31">
        <v>447</v>
      </c>
      <c r="C22" s="31" t="s">
        <v>353</v>
      </c>
      <c r="D22" s="26" t="s">
        <v>2</v>
      </c>
      <c r="E22" s="730">
        <v>-175259903.59</v>
      </c>
      <c r="F22" s="29"/>
      <c r="G22" s="29"/>
      <c r="H22" s="730">
        <f t="shared" si="1"/>
        <v>-175259903.59</v>
      </c>
      <c r="I22" s="29"/>
      <c r="J22" s="730">
        <f t="shared" si="4"/>
        <v>-175259903.59</v>
      </c>
      <c r="K22" s="29"/>
      <c r="L22" s="29">
        <f>'2023'!C13*1000</f>
        <v>-482089567.40599996</v>
      </c>
      <c r="M22" s="29"/>
      <c r="N22" s="29"/>
      <c r="O22" s="730">
        <f t="shared" si="2"/>
        <v>-482089567.40599996</v>
      </c>
      <c r="P22"/>
      <c r="Q22" s="906">
        <f>'2024 (NEW)'!C13*1000</f>
        <v>-249029764.49999997</v>
      </c>
      <c r="R22" s="29"/>
      <c r="S22" s="29"/>
      <c r="T22" s="730">
        <f t="shared" si="3"/>
        <v>-249029764.49999997</v>
      </c>
      <c r="U22"/>
      <c r="V22" s="912">
        <v>-482089567.40599996</v>
      </c>
      <c r="W22" s="912">
        <f t="shared" si="5"/>
        <v>233059802.90599999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>
      <c r="A23" s="27">
        <f t="shared" si="6"/>
        <v>11</v>
      </c>
      <c r="B23" s="31">
        <v>456</v>
      </c>
      <c r="C23" s="31" t="s">
        <v>353</v>
      </c>
      <c r="D23" s="26" t="s">
        <v>441</v>
      </c>
      <c r="E23" s="730">
        <f>+'TY Orders'!B11</f>
        <v>-21311995.93</v>
      </c>
      <c r="F23" s="29"/>
      <c r="G23" s="29"/>
      <c r="H23" s="730">
        <f t="shared" si="1"/>
        <v>-21311995.93</v>
      </c>
      <c r="I23" s="29"/>
      <c r="J23" s="730">
        <f t="shared" si="4"/>
        <v>-21311995.93</v>
      </c>
      <c r="K23" s="29"/>
      <c r="L23" s="29">
        <f>'2023'!C15*1000</f>
        <v>-130266755.17406844</v>
      </c>
      <c r="M23" s="29"/>
      <c r="N23" s="29"/>
      <c r="O23" s="730">
        <f t="shared" si="2"/>
        <v>-130266755.17406844</v>
      </c>
      <c r="P23"/>
      <c r="Q23" s="906">
        <f>'2024 (NEW)'!C15*1000</f>
        <v>-126901357.81756389</v>
      </c>
      <c r="R23" s="29"/>
      <c r="S23" s="29"/>
      <c r="T23" s="730">
        <f t="shared" si="3"/>
        <v>-126901357.81756389</v>
      </c>
      <c r="U23"/>
      <c r="V23" s="912">
        <v>-130266755.17406844</v>
      </c>
      <c r="W23" s="912">
        <f t="shared" si="5"/>
        <v>3365397.3565045446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>
      <c r="A24" s="27">
        <f t="shared" si="6"/>
        <v>12</v>
      </c>
      <c r="B24" s="31"/>
      <c r="C24" s="31"/>
      <c r="D24" s="32" t="s">
        <v>361</v>
      </c>
      <c r="E24" s="731">
        <f t="shared" ref="E24:O24" si="7">SUM(E15:E23)</f>
        <v>778012251.27999997</v>
      </c>
      <c r="F24" s="33">
        <f t="shared" si="7"/>
        <v>-4150848.83</v>
      </c>
      <c r="G24" s="33">
        <f t="shared" si="7"/>
        <v>-26176970.140000001</v>
      </c>
      <c r="H24" s="731">
        <f t="shared" ref="H24" si="8">SUM(H15:H23)</f>
        <v>747684432.30999994</v>
      </c>
      <c r="I24" s="33">
        <f t="shared" si="7"/>
        <v>6206043.0560840778</v>
      </c>
      <c r="J24" s="731">
        <f t="shared" si="7"/>
        <v>753890475.3660841</v>
      </c>
      <c r="K24" s="33"/>
      <c r="L24" s="33">
        <f t="shared" si="7"/>
        <v>933043533.4933753</v>
      </c>
      <c r="M24" s="33">
        <f t="shared" si="7"/>
        <v>-2290894.7199976346</v>
      </c>
      <c r="N24" s="33">
        <f t="shared" si="7"/>
        <v>-621859.05166324007</v>
      </c>
      <c r="O24" s="731">
        <f t="shared" si="7"/>
        <v>930130779.72171426</v>
      </c>
      <c r="P24"/>
      <c r="Q24" s="907">
        <f t="shared" ref="Q24:T24" si="9">SUM(Q15:Q23)</f>
        <v>1116115968.6859498</v>
      </c>
      <c r="R24" s="33">
        <f t="shared" si="9"/>
        <v>-2351534.8287420981</v>
      </c>
      <c r="S24" s="33">
        <f t="shared" si="9"/>
        <v>-638319.69482916733</v>
      </c>
      <c r="T24" s="731">
        <f t="shared" si="9"/>
        <v>1113126114.1623788</v>
      </c>
      <c r="U24"/>
      <c r="V24" s="913">
        <v>939390291.71418023</v>
      </c>
      <c r="W24" s="913">
        <f t="shared" si="5"/>
        <v>173735822.44819856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>
      <c r="A25" s="27">
        <f t="shared" si="6"/>
        <v>13</v>
      </c>
      <c r="B25" s="31"/>
      <c r="C25" s="31"/>
      <c r="D25" s="34" t="s">
        <v>442</v>
      </c>
      <c r="E25" s="730"/>
      <c r="F25" s="29"/>
      <c r="G25" s="725" t="s">
        <v>1447</v>
      </c>
      <c r="H25" s="733">
        <f>+Lead!D23-H24</f>
        <v>0</v>
      </c>
      <c r="I25" s="29"/>
      <c r="J25" s="733">
        <f>+Lead!F23-J24</f>
        <v>0</v>
      </c>
      <c r="K25" s="29"/>
      <c r="L25" s="29"/>
      <c r="M25" s="29"/>
      <c r="N25" s="29"/>
      <c r="O25" s="733">
        <f>+Lead!L23-O24</f>
        <v>0</v>
      </c>
      <c r="P25"/>
      <c r="Q25" s="29"/>
      <c r="R25" s="29"/>
      <c r="S25" s="29"/>
      <c r="T25" s="733">
        <f>+Lead!N23-T24</f>
        <v>0</v>
      </c>
      <c r="U25"/>
      <c r="V25" s="914">
        <v>0</v>
      </c>
      <c r="W25" s="914">
        <f t="shared" si="5"/>
        <v>0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>
      <c r="A26" s="27">
        <f t="shared" si="6"/>
        <v>14</v>
      </c>
      <c r="B26" s="31"/>
      <c r="C26" s="31"/>
      <c r="D26" s="30" t="s">
        <v>443</v>
      </c>
      <c r="E26" s="730"/>
      <c r="F26" s="29"/>
      <c r="G26" s="29"/>
      <c r="H26" s="730">
        <f>SUM(E26:G26)</f>
        <v>0</v>
      </c>
      <c r="I26" s="29"/>
      <c r="J26" s="730"/>
      <c r="K26" s="29"/>
      <c r="L26" s="29"/>
      <c r="M26" s="29"/>
      <c r="N26" s="29"/>
      <c r="O26" s="730"/>
      <c r="P26"/>
      <c r="Q26" s="29"/>
      <c r="R26" s="29"/>
      <c r="S26" s="29"/>
      <c r="T26" s="730"/>
      <c r="U26"/>
      <c r="V26" s="912"/>
      <c r="W26" s="912">
        <f t="shared" si="5"/>
        <v>0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>
      <c r="A27" s="27">
        <f t="shared" si="6"/>
        <v>15</v>
      </c>
      <c r="B27" s="31" t="s">
        <v>359</v>
      </c>
      <c r="C27" s="31" t="s">
        <v>356</v>
      </c>
      <c r="D27" s="35" t="s">
        <v>360</v>
      </c>
      <c r="E27" s="730">
        <v>108522830.96000001</v>
      </c>
      <c r="F27" s="29"/>
      <c r="G27" s="29"/>
      <c r="H27" s="730">
        <f>SUM(E27:G27)</f>
        <v>108522830.96000001</v>
      </c>
      <c r="I27" s="29"/>
      <c r="J27" s="730">
        <f t="shared" ref="J27:J30" si="10">SUM(H27:I27)</f>
        <v>108522830.96000001</v>
      </c>
      <c r="K27" s="29"/>
      <c r="L27" s="29">
        <f>+'MAC6_Prod O&amp;M Summary '!C25</f>
        <v>130406978.75605032</v>
      </c>
      <c r="M27" s="29">
        <f>-'B&amp;T O&amp;M Forecast'!M834</f>
        <v>-6405146.3487898894</v>
      </c>
      <c r="N27" s="29">
        <f>-'B&amp;T O&amp;M Forecast'!M835</f>
        <v>-1938399.5529232565</v>
      </c>
      <c r="O27" s="730">
        <f>SUM(L27:N27)</f>
        <v>122063432.85433717</v>
      </c>
      <c r="P27"/>
      <c r="Q27" s="29">
        <f>+'MAC6_Prod O&amp;M Summary '!D25</f>
        <v>130422601.95246923</v>
      </c>
      <c r="R27" s="29">
        <f>-'B&amp;T O&amp;M Forecast'!N834</f>
        <v>-6597300.7392535843</v>
      </c>
      <c r="S27" s="29">
        <f>-'B&amp;T O&amp;M Forecast'!N835</f>
        <v>-1996551.5395109535</v>
      </c>
      <c r="T27" s="730">
        <f>SUM(Q27:S27)</f>
        <v>121828749.6737047</v>
      </c>
      <c r="U27"/>
      <c r="V27" s="912">
        <v>121828749.6737047</v>
      </c>
      <c r="W27" s="912">
        <f t="shared" si="5"/>
        <v>0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>
      <c r="A28" s="27">
        <f t="shared" si="6"/>
        <v>16</v>
      </c>
      <c r="B28" s="31" t="s">
        <v>359</v>
      </c>
      <c r="C28" s="31" t="s">
        <v>356</v>
      </c>
      <c r="D28" s="32" t="s">
        <v>358</v>
      </c>
      <c r="E28" s="730">
        <f>+'TY Orders'!B34</f>
        <v>591568.35</v>
      </c>
      <c r="F28" s="29"/>
      <c r="G28" s="29"/>
      <c r="H28" s="730">
        <f>SUM(E28:G28)</f>
        <v>591568.35</v>
      </c>
      <c r="I28" s="29"/>
      <c r="J28" s="730">
        <f t="shared" si="10"/>
        <v>591568.35</v>
      </c>
      <c r="K28" s="29"/>
      <c r="L28" s="29">
        <f>+J28</f>
        <v>591568.35</v>
      </c>
      <c r="M28" s="29"/>
      <c r="N28" s="29"/>
      <c r="O28" s="730">
        <f>SUM(L28:N28)</f>
        <v>591568.35</v>
      </c>
      <c r="P28"/>
      <c r="Q28" s="29">
        <f>+O28</f>
        <v>591568.35</v>
      </c>
      <c r="R28" s="29"/>
      <c r="S28" s="29"/>
      <c r="T28" s="730">
        <f>SUM(Q28:S28)</f>
        <v>591568.35</v>
      </c>
      <c r="U28"/>
      <c r="V28" s="912">
        <v>591568.35</v>
      </c>
      <c r="W28" s="912">
        <f t="shared" si="5"/>
        <v>0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>
      <c r="A29" s="27">
        <f t="shared" si="6"/>
        <v>17</v>
      </c>
      <c r="B29" s="31" t="s">
        <v>357</v>
      </c>
      <c r="C29" s="31" t="s">
        <v>356</v>
      </c>
      <c r="D29" s="32" t="s">
        <v>355</v>
      </c>
      <c r="E29" s="730">
        <f>+'TY Orders'!B16</f>
        <v>-4679929.3499999996</v>
      </c>
      <c r="F29" s="29"/>
      <c r="G29" s="29"/>
      <c r="H29" s="730">
        <f>SUM(E29:G29)</f>
        <v>-4679929.3499999996</v>
      </c>
      <c r="I29" s="29"/>
      <c r="J29" s="730">
        <f t="shared" si="10"/>
        <v>-4679929.3499999996</v>
      </c>
      <c r="K29" s="29"/>
      <c r="L29" s="29">
        <f>-'Transmission Revenue'!B2</f>
        <v>-4966372.7605920909</v>
      </c>
      <c r="M29" s="29"/>
      <c r="N29" s="29"/>
      <c r="O29" s="730">
        <f>SUM(L29:N29)</f>
        <v>-4966372.7605920909</v>
      </c>
      <c r="P29"/>
      <c r="Q29" s="29">
        <f>-'Transmission Revenue'!C2</f>
        <v>-5115744.6620968897</v>
      </c>
      <c r="R29" s="29"/>
      <c r="S29" s="29"/>
      <c r="T29" s="730">
        <f>SUM(Q29:S29)</f>
        <v>-5115744.6620968897</v>
      </c>
      <c r="U29"/>
      <c r="V29" s="912">
        <v>-5115744.6620968897</v>
      </c>
      <c r="W29" s="912">
        <f t="shared" si="5"/>
        <v>0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>
      <c r="A30" s="27">
        <f t="shared" si="6"/>
        <v>18</v>
      </c>
      <c r="B30" s="31" t="s">
        <v>354</v>
      </c>
      <c r="C30" s="31" t="s">
        <v>353</v>
      </c>
      <c r="D30" s="32" t="s">
        <v>352</v>
      </c>
      <c r="E30" s="730"/>
      <c r="F30" s="29"/>
      <c r="G30" s="29"/>
      <c r="H30" s="730">
        <f>SUM(E30:G30)</f>
        <v>0</v>
      </c>
      <c r="I30" s="29">
        <f>+'Centralia Equity Kicker'!I32</f>
        <v>4094424</v>
      </c>
      <c r="J30" s="730">
        <f t="shared" si="10"/>
        <v>4094424</v>
      </c>
      <c r="K30" s="29"/>
      <c r="L30" s="29">
        <f>+'Centralia Equity Kicker'!I33</f>
        <v>4094424.0000000005</v>
      </c>
      <c r="M30" s="29"/>
      <c r="N30" s="29"/>
      <c r="O30" s="730">
        <f>SUM(L30:N30)</f>
        <v>4094424.0000000005</v>
      </c>
      <c r="P30"/>
      <c r="Q30" s="29">
        <f>+'Centralia Equity Kicker'!I34</f>
        <v>4105641.6000000006</v>
      </c>
      <c r="R30" s="29"/>
      <c r="S30" s="29"/>
      <c r="T30" s="730">
        <f>SUM(Q30:S30)</f>
        <v>4105641.6000000006</v>
      </c>
      <c r="U30"/>
      <c r="V30" s="912">
        <v>4105641.6000000006</v>
      </c>
      <c r="W30" s="912">
        <f t="shared" si="5"/>
        <v>0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ht="13.5" thickBot="1">
      <c r="A31" s="27">
        <f t="shared" si="6"/>
        <v>19</v>
      </c>
      <c r="B31" s="31"/>
      <c r="C31" s="31"/>
      <c r="D31" s="32" t="s">
        <v>351</v>
      </c>
      <c r="E31" s="732">
        <f>+E24+SUM(E27:E30)</f>
        <v>882446721.24000001</v>
      </c>
      <c r="F31" s="36">
        <f t="shared" ref="F31:O31" si="11">+F24+SUM(F27:F30)</f>
        <v>-4150848.83</v>
      </c>
      <c r="G31" s="36">
        <f t="shared" si="11"/>
        <v>-26176970.140000001</v>
      </c>
      <c r="H31" s="732">
        <f t="shared" si="11"/>
        <v>852118902.26999998</v>
      </c>
      <c r="I31" s="36">
        <f t="shared" si="11"/>
        <v>10300467.056084078</v>
      </c>
      <c r="J31" s="732">
        <f t="shared" si="11"/>
        <v>862419369.32608414</v>
      </c>
      <c r="K31" s="36">
        <f t="shared" si="11"/>
        <v>0</v>
      </c>
      <c r="L31" s="36">
        <f t="shared" si="11"/>
        <v>1063170131.8388336</v>
      </c>
      <c r="M31" s="36">
        <f t="shared" si="11"/>
        <v>-8696041.0687875245</v>
      </c>
      <c r="N31" s="36">
        <f t="shared" si="11"/>
        <v>-2560258.6045864965</v>
      </c>
      <c r="O31" s="732">
        <f t="shared" si="11"/>
        <v>1051913832.1654594</v>
      </c>
      <c r="P31"/>
      <c r="Q31" s="36">
        <f t="shared" ref="Q31:T31" si="12">+Q24+SUM(Q27:Q30)</f>
        <v>1246120035.9263222</v>
      </c>
      <c r="R31" s="36">
        <f t="shared" si="12"/>
        <v>-8948835.5679956824</v>
      </c>
      <c r="S31" s="36">
        <f t="shared" si="12"/>
        <v>-2634871.234340121</v>
      </c>
      <c r="T31" s="732">
        <f t="shared" si="12"/>
        <v>1234536329.1239865</v>
      </c>
      <c r="U31"/>
      <c r="V31" s="915">
        <v>1060800506.675788</v>
      </c>
      <c r="W31" s="915">
        <f t="shared" si="5"/>
        <v>173735822.44819844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ht="13.5" thickTop="1">
      <c r="B32"/>
      <c r="C32"/>
      <c r="D32"/>
      <c r="E32"/>
      <c r="F32"/>
      <c r="G32" s="725" t="s">
        <v>1447</v>
      </c>
      <c r="H32" s="728">
        <f>+Lead!D30-H31</f>
        <v>0</v>
      </c>
      <c r="I32" s="726"/>
      <c r="J32" s="728">
        <f>+Lead!F30-J31</f>
        <v>0</v>
      </c>
      <c r="K32" s="726"/>
      <c r="L32" s="726"/>
      <c r="M32" s="726"/>
      <c r="N32" s="726"/>
      <c r="O32" s="728">
        <f>+Lead!L30-O31</f>
        <v>0</v>
      </c>
      <c r="P32" s="726"/>
      <c r="Q32" s="727"/>
      <c r="R32" s="29"/>
      <c r="S32" s="726"/>
      <c r="T32" s="728">
        <f>+Lead!N30-T31</f>
        <v>0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4:23" customFormat="1"/>
    <row r="34" spans="4:23" customFormat="1">
      <c r="O34" s="894"/>
    </row>
    <row r="35" spans="4:23" customFormat="1"/>
    <row r="36" spans="4:23" customFormat="1">
      <c r="D36" s="1071" t="s">
        <v>1503</v>
      </c>
    </row>
    <row r="37" spans="4:23" customFormat="1">
      <c r="D37" s="1073"/>
      <c r="E37" s="1074" t="s">
        <v>660</v>
      </c>
      <c r="F37" s="1074" t="s">
        <v>551</v>
      </c>
      <c r="G37" s="1074" t="s">
        <v>551</v>
      </c>
      <c r="H37" s="1074">
        <v>-1</v>
      </c>
      <c r="I37" s="1074" t="s">
        <v>550</v>
      </c>
      <c r="J37" s="1074" t="s">
        <v>557</v>
      </c>
      <c r="K37" s="1073"/>
      <c r="L37" s="1073"/>
      <c r="M37" s="1073"/>
      <c r="N37" s="1073"/>
      <c r="O37" s="1074"/>
      <c r="P37" s="1075"/>
      <c r="Q37" s="1073"/>
      <c r="R37" s="1075"/>
      <c r="S37" s="1075"/>
      <c r="T37" s="1074"/>
      <c r="U37" s="1075"/>
      <c r="V37" s="1074" t="s">
        <v>1497</v>
      </c>
      <c r="W37" s="1074" t="s">
        <v>264</v>
      </c>
    </row>
    <row r="38" spans="4:23" customFormat="1">
      <c r="D38" s="1073"/>
      <c r="E38" s="1074" t="s">
        <v>537</v>
      </c>
      <c r="F38" s="1074" t="s">
        <v>552</v>
      </c>
      <c r="G38" s="1074" t="s">
        <v>552</v>
      </c>
      <c r="H38" s="1074" t="s">
        <v>590</v>
      </c>
      <c r="I38" s="1074" t="s">
        <v>554</v>
      </c>
      <c r="J38" s="1074" t="s">
        <v>558</v>
      </c>
      <c r="K38" s="1074"/>
      <c r="L38" s="1074" t="s">
        <v>596</v>
      </c>
      <c r="M38" s="1074" t="s">
        <v>366</v>
      </c>
      <c r="N38" s="1074" t="s">
        <v>366</v>
      </c>
      <c r="O38" s="1074" t="s">
        <v>462</v>
      </c>
      <c r="P38" s="1075"/>
      <c r="Q38" s="1074" t="s">
        <v>596</v>
      </c>
      <c r="R38" s="1074" t="s">
        <v>366</v>
      </c>
      <c r="S38" s="1074" t="s">
        <v>366</v>
      </c>
      <c r="T38" s="1074" t="s">
        <v>463</v>
      </c>
      <c r="U38" s="1075"/>
      <c r="V38" s="1074" t="s">
        <v>463</v>
      </c>
      <c r="W38" s="1074"/>
    </row>
    <row r="39" spans="4:23" customFormat="1">
      <c r="D39" s="1073" t="s">
        <v>362</v>
      </c>
      <c r="E39" s="1074" t="s">
        <v>444</v>
      </c>
      <c r="F39" s="1074" t="s">
        <v>553</v>
      </c>
      <c r="G39" s="1074" t="s">
        <v>661</v>
      </c>
      <c r="H39" s="1074" t="s">
        <v>589</v>
      </c>
      <c r="I39" s="1074" t="s">
        <v>414</v>
      </c>
      <c r="J39" s="1074" t="s">
        <v>559</v>
      </c>
      <c r="K39" s="1074"/>
      <c r="L39" s="1074" t="s">
        <v>538</v>
      </c>
      <c r="M39" s="1074" t="s">
        <v>434</v>
      </c>
      <c r="N39" s="1074" t="s">
        <v>435</v>
      </c>
      <c r="O39" s="1074" t="s">
        <v>538</v>
      </c>
      <c r="P39" s="1075"/>
      <c r="Q39" s="1074" t="s">
        <v>597</v>
      </c>
      <c r="R39" s="1074" t="s">
        <v>434</v>
      </c>
      <c r="S39" s="1074" t="s">
        <v>435</v>
      </c>
      <c r="T39" s="1074" t="s">
        <v>597</v>
      </c>
      <c r="U39" s="1075"/>
      <c r="V39" s="1074" t="s">
        <v>597</v>
      </c>
      <c r="W39" s="1074"/>
    </row>
    <row r="40" spans="4:23" customFormat="1">
      <c r="D40" s="1073" t="b">
        <v>1</v>
      </c>
      <c r="E40" s="1076"/>
      <c r="F40" s="1076"/>
      <c r="G40" s="1076"/>
      <c r="H40" s="1076"/>
      <c r="I40" s="1076"/>
      <c r="J40" s="1076"/>
      <c r="K40" s="1076"/>
      <c r="L40" s="1076"/>
      <c r="M40" s="1076"/>
      <c r="N40" s="1076"/>
      <c r="O40" s="1076"/>
      <c r="P40" s="1075"/>
      <c r="Q40" s="1076"/>
      <c r="R40" s="1076"/>
      <c r="S40" s="1076"/>
      <c r="T40" s="1076"/>
      <c r="U40" s="1075"/>
      <c r="V40" s="1076"/>
      <c r="W40" s="1076"/>
    </row>
    <row r="41" spans="4:23" customFormat="1">
      <c r="D41" s="1077" t="s">
        <v>436</v>
      </c>
      <c r="E41" s="1076"/>
      <c r="F41" s="1076"/>
      <c r="G41" s="1076"/>
      <c r="H41" s="1076"/>
      <c r="I41" s="1076"/>
      <c r="J41" s="1076"/>
      <c r="K41" s="1076"/>
      <c r="L41" s="1076"/>
      <c r="M41" s="1076"/>
      <c r="N41" s="1076"/>
      <c r="O41" s="1076"/>
      <c r="P41" s="1075"/>
      <c r="Q41" s="1076"/>
      <c r="R41" s="1076"/>
      <c r="S41" s="1076"/>
      <c r="T41" s="1076"/>
      <c r="U41" s="1075"/>
      <c r="V41" s="1076"/>
      <c r="W41" s="1076"/>
    </row>
    <row r="42" spans="4:23" customFormat="1">
      <c r="D42" s="1073" t="s">
        <v>432</v>
      </c>
      <c r="E42" s="1076">
        <v>40481079.530000001</v>
      </c>
      <c r="F42" s="1076"/>
      <c r="G42" s="1076"/>
      <c r="H42" s="1076">
        <v>40481079.530000001</v>
      </c>
      <c r="I42" s="1076"/>
      <c r="J42" s="1076">
        <v>40481079.530000001</v>
      </c>
      <c r="K42" s="1076"/>
      <c r="L42" s="1076">
        <v>65690561.13598755</v>
      </c>
      <c r="M42" s="1076"/>
      <c r="N42" s="1076"/>
      <c r="O42" s="1076">
        <v>65690561.13598755</v>
      </c>
      <c r="P42" s="1075"/>
      <c r="Q42" s="1076">
        <v>55531891.799999997</v>
      </c>
      <c r="R42" s="1076"/>
      <c r="S42" s="1076"/>
      <c r="T42" s="1076">
        <v>55531891.799999997</v>
      </c>
      <c r="U42" s="1075"/>
      <c r="V42" s="1076">
        <v>65690561.13598755</v>
      </c>
      <c r="W42" s="1076">
        <v>-10158669.335987553</v>
      </c>
    </row>
    <row r="43" spans="4:23" customFormat="1">
      <c r="D43" s="1073" t="s">
        <v>433</v>
      </c>
      <c r="E43" s="1076">
        <v>178893364.00999999</v>
      </c>
      <c r="F43" s="1076"/>
      <c r="G43" s="1076"/>
      <c r="H43" s="1076">
        <v>178893364.00999999</v>
      </c>
      <c r="I43" s="1076"/>
      <c r="J43" s="1076">
        <v>178893364.00999999</v>
      </c>
      <c r="K43" s="1076"/>
      <c r="L43" s="1076">
        <v>500342454.47306603</v>
      </c>
      <c r="M43" s="1076"/>
      <c r="N43" s="1076"/>
      <c r="O43" s="1076">
        <v>500342454.47306603</v>
      </c>
      <c r="P43" s="1075"/>
      <c r="Q43" s="1076">
        <v>279875985.65696412</v>
      </c>
      <c r="R43" s="1076"/>
      <c r="S43" s="1076"/>
      <c r="T43" s="1076">
        <v>279875985.65696412</v>
      </c>
      <c r="U43" s="1075"/>
      <c r="V43" s="1076">
        <v>500342454.47306603</v>
      </c>
      <c r="W43" s="1076">
        <v>-220466468.81610191</v>
      </c>
    </row>
    <row r="44" spans="4:23" customFormat="1">
      <c r="D44" s="1073" t="s">
        <v>437</v>
      </c>
      <c r="E44" s="1076">
        <v>621116982.74000001</v>
      </c>
      <c r="F44" s="1076"/>
      <c r="G44" s="1076"/>
      <c r="H44" s="1076">
        <v>621116982.74000001</v>
      </c>
      <c r="I44" s="1076">
        <v>15058669.78762592</v>
      </c>
      <c r="J44" s="1076">
        <v>636175652.52762592</v>
      </c>
      <c r="K44" s="1076"/>
      <c r="L44" s="1076">
        <v>827603384.29048145</v>
      </c>
      <c r="M44" s="1076"/>
      <c r="N44" s="1076"/>
      <c r="O44" s="1076">
        <v>827603384.29048145</v>
      </c>
      <c r="P44" s="1075"/>
      <c r="Q44" s="1076">
        <v>931572947.37484956</v>
      </c>
      <c r="R44" s="1076"/>
      <c r="S44" s="1076"/>
      <c r="T44" s="1076">
        <v>931572947.37484956</v>
      </c>
      <c r="U44" s="1075"/>
      <c r="V44" s="1076">
        <v>836497640.43728137</v>
      </c>
      <c r="W44" s="1076">
        <v>95075306.937568188</v>
      </c>
    </row>
    <row r="45" spans="4:23" customFormat="1">
      <c r="D45" s="1073" t="s">
        <v>1496</v>
      </c>
      <c r="E45" s="1076"/>
      <c r="F45" s="1076"/>
      <c r="G45" s="1076"/>
      <c r="H45" s="1076">
        <v>0</v>
      </c>
      <c r="I45" s="1076"/>
      <c r="J45" s="1076">
        <v>0</v>
      </c>
      <c r="K45" s="1076"/>
      <c r="L45" s="1078" t="s">
        <v>354</v>
      </c>
      <c r="M45" s="1076"/>
      <c r="N45" s="1076"/>
      <c r="O45" s="1076">
        <v>0</v>
      </c>
      <c r="P45" s="1075"/>
      <c r="Q45" s="1076">
        <v>11391237.017779689</v>
      </c>
      <c r="R45" s="1076"/>
      <c r="S45" s="1076"/>
      <c r="T45" s="1076">
        <v>11391237.017779689</v>
      </c>
      <c r="U45" s="1075"/>
      <c r="V45" s="1076"/>
      <c r="W45" s="1076">
        <v>11391237.017779689</v>
      </c>
    </row>
    <row r="46" spans="4:23" customFormat="1">
      <c r="D46" s="1073" t="s">
        <v>438</v>
      </c>
      <c r="E46" s="1076">
        <v>9809895.5299999993</v>
      </c>
      <c r="F46" s="1076">
        <v>-4150848.83</v>
      </c>
      <c r="G46" s="1076">
        <v>-26176970.140000001</v>
      </c>
      <c r="H46" s="1076">
        <v>-20517923.440000001</v>
      </c>
      <c r="I46" s="1076">
        <v>-8852626.7315418422</v>
      </c>
      <c r="J46" s="1076">
        <v>-29370550.171541844</v>
      </c>
      <c r="K46" s="1076"/>
      <c r="L46" s="1076">
        <v>16190205.927277483</v>
      </c>
      <c r="M46" s="1076">
        <v>-2290894.7199976346</v>
      </c>
      <c r="N46" s="1076">
        <v>-621859.05166324007</v>
      </c>
      <c r="O46" s="1076">
        <v>13277452.155616608</v>
      </c>
      <c r="P46" s="1075"/>
      <c r="Q46" s="1076">
        <v>16620049.40254993</v>
      </c>
      <c r="R46" s="1076">
        <v>-2351534.8287420981</v>
      </c>
      <c r="S46" s="1076">
        <v>-638319.69482916733</v>
      </c>
      <c r="T46" s="1076">
        <v>13630194.878978664</v>
      </c>
      <c r="U46" s="1075"/>
      <c r="V46" s="1076">
        <v>13630194.878978664</v>
      </c>
      <c r="W46" s="1076">
        <v>0</v>
      </c>
    </row>
    <row r="47" spans="4:23" customFormat="1">
      <c r="D47" s="1073" t="s">
        <v>439</v>
      </c>
      <c r="E47" s="1076">
        <v>509160.25</v>
      </c>
      <c r="F47" s="1076"/>
      <c r="G47" s="1076"/>
      <c r="H47" s="1076">
        <v>509160.25</v>
      </c>
      <c r="I47" s="1076"/>
      <c r="J47" s="1076">
        <v>509160.25</v>
      </c>
      <c r="K47" s="1076"/>
      <c r="L47" s="1076">
        <v>521380.09600000002</v>
      </c>
      <c r="M47" s="1076"/>
      <c r="N47" s="1076"/>
      <c r="O47" s="1076">
        <v>521380.09600000002</v>
      </c>
      <c r="P47" s="1075"/>
      <c r="Q47" s="1076">
        <v>533893.21830399998</v>
      </c>
      <c r="R47" s="1076"/>
      <c r="S47" s="1076"/>
      <c r="T47" s="1076">
        <v>533893.21830399998</v>
      </c>
      <c r="U47" s="1075"/>
      <c r="V47" s="1076">
        <v>533893.21830399998</v>
      </c>
      <c r="W47" s="1076">
        <v>0</v>
      </c>
    </row>
    <row r="48" spans="4:23" customFormat="1">
      <c r="D48" s="1073" t="s">
        <v>440</v>
      </c>
      <c r="E48" s="1076">
        <v>123773668.73999999</v>
      </c>
      <c r="F48" s="1076"/>
      <c r="G48" s="1076"/>
      <c r="H48" s="1076">
        <v>123773668.73999999</v>
      </c>
      <c r="I48" s="1076"/>
      <c r="J48" s="1076">
        <v>123773668.73999999</v>
      </c>
      <c r="K48" s="1076"/>
      <c r="L48" s="1076">
        <v>135051870.15063089</v>
      </c>
      <c r="M48" s="1076"/>
      <c r="N48" s="1076"/>
      <c r="O48" s="1076">
        <v>135051870.15063089</v>
      </c>
      <c r="P48" s="1075"/>
      <c r="Q48" s="1076">
        <v>153226726.55457237</v>
      </c>
      <c r="R48" s="1076"/>
      <c r="S48" s="1076"/>
      <c r="T48" s="1076">
        <v>153226726.55457237</v>
      </c>
      <c r="U48" s="1075"/>
      <c r="V48" s="1076">
        <v>135051870.15063089</v>
      </c>
      <c r="W48" s="1076">
        <v>18174856.403941482</v>
      </c>
    </row>
    <row r="49" spans="4:23" customFormat="1">
      <c r="D49" s="1073" t="s">
        <v>2</v>
      </c>
      <c r="E49" s="1076">
        <v>-175259903.59</v>
      </c>
      <c r="F49" s="1076"/>
      <c r="G49" s="1076"/>
      <c r="H49" s="1076">
        <v>-175259903.59</v>
      </c>
      <c r="I49" s="1076"/>
      <c r="J49" s="1076">
        <v>-175259903.59</v>
      </c>
      <c r="K49" s="1076"/>
      <c r="L49" s="1076">
        <v>-482089567.40599996</v>
      </c>
      <c r="M49" s="1076"/>
      <c r="N49" s="1076"/>
      <c r="O49" s="1076">
        <v>-482089567.40599996</v>
      </c>
      <c r="P49" s="1075"/>
      <c r="Q49" s="1076">
        <v>-182172520.1605342</v>
      </c>
      <c r="R49" s="1076"/>
      <c r="S49" s="1076"/>
      <c r="T49" s="1076">
        <v>-182172520.1605342</v>
      </c>
      <c r="U49" s="1075"/>
      <c r="V49" s="1076">
        <v>-482089567.40599996</v>
      </c>
      <c r="W49" s="1076">
        <v>299917047.24546576</v>
      </c>
    </row>
    <row r="50" spans="4:23" customFormat="1">
      <c r="D50" s="1073" t="s">
        <v>441</v>
      </c>
      <c r="E50" s="1076">
        <v>-21311995.93</v>
      </c>
      <c r="F50" s="1076"/>
      <c r="G50" s="1076"/>
      <c r="H50" s="1076">
        <v>-21311995.93</v>
      </c>
      <c r="I50" s="1076"/>
      <c r="J50" s="1076">
        <v>-21311995.93</v>
      </c>
      <c r="K50" s="1076"/>
      <c r="L50" s="1076">
        <v>-130266755.17406844</v>
      </c>
      <c r="M50" s="1076"/>
      <c r="N50" s="1076"/>
      <c r="O50" s="1076">
        <v>-130266755.17406844</v>
      </c>
      <c r="P50" s="1075"/>
      <c r="Q50" s="1076">
        <v>-126901357.81756389</v>
      </c>
      <c r="R50" s="1076"/>
      <c r="S50" s="1076"/>
      <c r="T50" s="1076">
        <v>-126901357.81756389</v>
      </c>
      <c r="U50" s="1075"/>
      <c r="V50" s="1076">
        <v>-130266755.17406844</v>
      </c>
      <c r="W50" s="1076">
        <v>3365397.3565045446</v>
      </c>
    </row>
    <row r="51" spans="4:23" customFormat="1">
      <c r="D51" s="1079" t="s">
        <v>361</v>
      </c>
      <c r="E51" s="1080">
        <v>778012251.27999997</v>
      </c>
      <c r="F51" s="1080">
        <v>-4150848.83</v>
      </c>
      <c r="G51" s="1080">
        <v>-26176970.140000001</v>
      </c>
      <c r="H51" s="1080">
        <v>747684432.30999994</v>
      </c>
      <c r="I51" s="1080">
        <v>6206043.0560840778</v>
      </c>
      <c r="J51" s="1080">
        <v>753890475.3660841</v>
      </c>
      <c r="K51" s="1080"/>
      <c r="L51" s="1080">
        <v>933043533.4933753</v>
      </c>
      <c r="M51" s="1080">
        <v>-2290894.7199976346</v>
      </c>
      <c r="N51" s="1080">
        <v>-621859.05166324007</v>
      </c>
      <c r="O51" s="1080">
        <v>930130779.72171426</v>
      </c>
      <c r="P51" s="1075"/>
      <c r="Q51" s="1080">
        <v>1139678853.0469217</v>
      </c>
      <c r="R51" s="1080">
        <v>-2351534.8287420981</v>
      </c>
      <c r="S51" s="1080">
        <v>-638319.69482916733</v>
      </c>
      <c r="T51" s="1080">
        <v>1136688998.5233502</v>
      </c>
      <c r="U51" s="1075"/>
      <c r="V51" s="1080">
        <v>939390291.71418023</v>
      </c>
      <c r="W51" s="1080">
        <v>197298706.80917001</v>
      </c>
    </row>
    <row r="52" spans="4:23" customFormat="1">
      <c r="D52" s="1081" t="s">
        <v>442</v>
      </c>
      <c r="E52" s="1076"/>
      <c r="F52" s="1076"/>
      <c r="G52" s="1082" t="s">
        <v>1447</v>
      </c>
      <c r="H52" s="1083">
        <v>0</v>
      </c>
      <c r="I52" s="1076"/>
      <c r="J52" s="1083">
        <v>0</v>
      </c>
      <c r="K52" s="1076"/>
      <c r="L52" s="1076"/>
      <c r="M52" s="1076"/>
      <c r="N52" s="1076"/>
      <c r="O52" s="1083">
        <v>0</v>
      </c>
      <c r="P52" s="1075"/>
      <c r="Q52" s="1076"/>
      <c r="R52" s="1076"/>
      <c r="S52" s="1076"/>
      <c r="T52" s="1083">
        <v>0</v>
      </c>
      <c r="U52" s="1075"/>
      <c r="V52" s="1083">
        <v>0</v>
      </c>
      <c r="W52" s="1083">
        <v>0</v>
      </c>
    </row>
    <row r="53" spans="4:23" customFormat="1">
      <c r="D53" s="1077" t="s">
        <v>443</v>
      </c>
      <c r="E53" s="1076"/>
      <c r="F53" s="1076"/>
      <c r="G53" s="1076"/>
      <c r="H53" s="1076">
        <v>0</v>
      </c>
      <c r="I53" s="1076"/>
      <c r="J53" s="1076"/>
      <c r="K53" s="1076"/>
      <c r="L53" s="1076"/>
      <c r="M53" s="1076"/>
      <c r="N53" s="1076"/>
      <c r="O53" s="1076"/>
      <c r="P53" s="1075"/>
      <c r="Q53" s="1076"/>
      <c r="R53" s="1076"/>
      <c r="S53" s="1076"/>
      <c r="T53" s="1076"/>
      <c r="U53" s="1075"/>
      <c r="V53" s="1076"/>
      <c r="W53" s="1076">
        <v>0</v>
      </c>
    </row>
    <row r="54" spans="4:23" customFormat="1">
      <c r="D54" s="1084" t="s">
        <v>360</v>
      </c>
      <c r="E54" s="1076">
        <v>108522830.96000001</v>
      </c>
      <c r="F54" s="1076"/>
      <c r="G54" s="1076"/>
      <c r="H54" s="1076">
        <v>108522830.96000001</v>
      </c>
      <c r="I54" s="1076"/>
      <c r="J54" s="1076">
        <v>108522830.96000001</v>
      </c>
      <c r="K54" s="1076"/>
      <c r="L54" s="1076">
        <v>130406978.75605032</v>
      </c>
      <c r="M54" s="1076">
        <v>-6405146.3487898894</v>
      </c>
      <c r="N54" s="1076">
        <v>-1938399.5529232565</v>
      </c>
      <c r="O54" s="1076">
        <v>122063432.85433717</v>
      </c>
      <c r="P54" s="1075"/>
      <c r="Q54" s="1076">
        <v>130422601.95246923</v>
      </c>
      <c r="R54" s="1076">
        <v>-6597300.7392535843</v>
      </c>
      <c r="S54" s="1076">
        <v>-1996551.5395109535</v>
      </c>
      <c r="T54" s="1076">
        <v>121828749.6737047</v>
      </c>
      <c r="U54" s="1075"/>
      <c r="V54" s="1076">
        <v>121828749.6737047</v>
      </c>
      <c r="W54" s="1076">
        <v>0</v>
      </c>
    </row>
    <row r="55" spans="4:23" customFormat="1">
      <c r="D55" s="1079" t="s">
        <v>358</v>
      </c>
      <c r="E55" s="1076">
        <v>591568.35</v>
      </c>
      <c r="F55" s="1076"/>
      <c r="G55" s="1076"/>
      <c r="H55" s="1076">
        <v>591568.35</v>
      </c>
      <c r="I55" s="1076"/>
      <c r="J55" s="1076">
        <v>591568.35</v>
      </c>
      <c r="K55" s="1076"/>
      <c r="L55" s="1076">
        <v>591568.35</v>
      </c>
      <c r="M55" s="1076"/>
      <c r="N55" s="1076"/>
      <c r="O55" s="1076">
        <v>591568.35</v>
      </c>
      <c r="P55" s="1075"/>
      <c r="Q55" s="1076">
        <v>591568.35</v>
      </c>
      <c r="R55" s="1076"/>
      <c r="S55" s="1076"/>
      <c r="T55" s="1076">
        <v>591568.35</v>
      </c>
      <c r="U55" s="1075"/>
      <c r="V55" s="1076">
        <v>591568.35</v>
      </c>
      <c r="W55" s="1076">
        <v>0</v>
      </c>
    </row>
    <row r="56" spans="4:23" customFormat="1">
      <c r="D56" s="1079" t="s">
        <v>355</v>
      </c>
      <c r="E56" s="1076">
        <v>-4679929.3499999996</v>
      </c>
      <c r="F56" s="1076"/>
      <c r="G56" s="1076"/>
      <c r="H56" s="1076">
        <v>-4679929.3499999996</v>
      </c>
      <c r="I56" s="1076"/>
      <c r="J56" s="1076">
        <v>-4679929.3499999996</v>
      </c>
      <c r="K56" s="1076"/>
      <c r="L56" s="1076">
        <v>-4966372.7605920909</v>
      </c>
      <c r="M56" s="1076"/>
      <c r="N56" s="1076"/>
      <c r="O56" s="1076">
        <v>-4966372.7605920909</v>
      </c>
      <c r="P56" s="1075"/>
      <c r="Q56" s="1076">
        <v>-5115744.6620968897</v>
      </c>
      <c r="R56" s="1076"/>
      <c r="S56" s="1076"/>
      <c r="T56" s="1076">
        <v>-5115744.6620968897</v>
      </c>
      <c r="U56" s="1075"/>
      <c r="V56" s="1076">
        <v>-5115744.6620968897</v>
      </c>
      <c r="W56" s="1076">
        <v>0</v>
      </c>
    </row>
    <row r="57" spans="4:23" customFormat="1">
      <c r="D57" s="1079" t="s">
        <v>352</v>
      </c>
      <c r="E57" s="1076"/>
      <c r="F57" s="1076"/>
      <c r="G57" s="1076"/>
      <c r="H57" s="1076">
        <v>0</v>
      </c>
      <c r="I57" s="1076">
        <v>4094424</v>
      </c>
      <c r="J57" s="1076">
        <v>4094424</v>
      </c>
      <c r="K57" s="1076"/>
      <c r="L57" s="1076">
        <v>4094424.0000000005</v>
      </c>
      <c r="M57" s="1076"/>
      <c r="N57" s="1076"/>
      <c r="O57" s="1076">
        <v>4094424.0000000005</v>
      </c>
      <c r="P57" s="1075"/>
      <c r="Q57" s="1076">
        <v>4105641.6000000006</v>
      </c>
      <c r="R57" s="1076"/>
      <c r="S57" s="1076"/>
      <c r="T57" s="1076">
        <v>4105641.6000000006</v>
      </c>
      <c r="U57" s="1075"/>
      <c r="V57" s="1076">
        <v>4105641.6000000006</v>
      </c>
      <c r="W57" s="1076">
        <v>0</v>
      </c>
    </row>
    <row r="58" spans="4:23" customFormat="1" ht="13.5" thickBot="1">
      <c r="D58" s="1079" t="s">
        <v>351</v>
      </c>
      <c r="E58" s="1085">
        <v>882446721.24000001</v>
      </c>
      <c r="F58" s="1085">
        <v>-4150848.83</v>
      </c>
      <c r="G58" s="1085">
        <v>-26176970.140000001</v>
      </c>
      <c r="H58" s="1085">
        <v>852118902.26999998</v>
      </c>
      <c r="I58" s="1085">
        <v>10300467.056084078</v>
      </c>
      <c r="J58" s="1085">
        <v>862419369.32608414</v>
      </c>
      <c r="K58" s="1085">
        <v>0</v>
      </c>
      <c r="L58" s="1085">
        <v>1063170131.8388336</v>
      </c>
      <c r="M58" s="1085">
        <v>-8696041.0687875245</v>
      </c>
      <c r="N58" s="1085">
        <v>-2560258.6045864965</v>
      </c>
      <c r="O58" s="1085">
        <v>1051913832.1654594</v>
      </c>
      <c r="P58" s="1075"/>
      <c r="Q58" s="1085">
        <v>1269682920.2872941</v>
      </c>
      <c r="R58" s="1085">
        <v>-8948835.5679956824</v>
      </c>
      <c r="S58" s="1085">
        <v>-2634871.234340121</v>
      </c>
      <c r="T58" s="1085">
        <v>1258099213.4849579</v>
      </c>
      <c r="U58" s="1075"/>
      <c r="V58" s="1085">
        <v>1060800506.675788</v>
      </c>
      <c r="W58" s="1085">
        <v>197298706.80916989</v>
      </c>
    </row>
    <row r="59" spans="4:23" customFormat="1" ht="13.5" thickTop="1">
      <c r="D59" s="1071" t="s">
        <v>1504</v>
      </c>
    </row>
    <row r="60" spans="4:23" customFormat="1">
      <c r="D60" s="1073"/>
      <c r="E60" s="1074" t="s">
        <v>660</v>
      </c>
      <c r="F60" s="1074" t="s">
        <v>551</v>
      </c>
      <c r="G60" s="1074" t="s">
        <v>551</v>
      </c>
      <c r="H60" s="1074">
        <v>-1</v>
      </c>
      <c r="I60" s="1074" t="s">
        <v>550</v>
      </c>
      <c r="J60" s="1074" t="s">
        <v>557</v>
      </c>
      <c r="K60" s="1073"/>
      <c r="L60" s="1073"/>
      <c r="M60" s="1073"/>
      <c r="N60" s="1073"/>
      <c r="O60" s="1074"/>
      <c r="P60" s="1075"/>
      <c r="Q60" s="1073"/>
      <c r="R60" s="1075"/>
      <c r="S60" s="1075"/>
      <c r="T60" s="1074"/>
      <c r="U60" s="1075"/>
      <c r="V60" s="1074" t="s">
        <v>1497</v>
      </c>
      <c r="W60" s="1074" t="s">
        <v>264</v>
      </c>
    </row>
    <row r="61" spans="4:23" customFormat="1">
      <c r="D61" s="1073"/>
      <c r="E61" s="1074" t="s">
        <v>537</v>
      </c>
      <c r="F61" s="1074" t="s">
        <v>552</v>
      </c>
      <c r="G61" s="1074" t="s">
        <v>552</v>
      </c>
      <c r="H61" s="1074" t="s">
        <v>590</v>
      </c>
      <c r="I61" s="1074" t="s">
        <v>554</v>
      </c>
      <c r="J61" s="1074" t="s">
        <v>558</v>
      </c>
      <c r="K61" s="1074"/>
      <c r="L61" s="1074" t="s">
        <v>596</v>
      </c>
      <c r="M61" s="1074" t="s">
        <v>366</v>
      </c>
      <c r="N61" s="1074" t="s">
        <v>366</v>
      </c>
      <c r="O61" s="1074" t="s">
        <v>462</v>
      </c>
      <c r="P61" s="1075"/>
      <c r="Q61" s="1074" t="s">
        <v>596</v>
      </c>
      <c r="R61" s="1074" t="s">
        <v>366</v>
      </c>
      <c r="S61" s="1074" t="s">
        <v>366</v>
      </c>
      <c r="T61" s="1074" t="s">
        <v>463</v>
      </c>
      <c r="U61" s="1075"/>
      <c r="V61" s="1074" t="s">
        <v>463</v>
      </c>
      <c r="W61" s="1074"/>
    </row>
    <row r="62" spans="4:23" customFormat="1">
      <c r="D62" s="1073" t="s">
        <v>362</v>
      </c>
      <c r="E62" s="1074" t="s">
        <v>444</v>
      </c>
      <c r="F62" s="1074" t="s">
        <v>553</v>
      </c>
      <c r="G62" s="1074" t="s">
        <v>661</v>
      </c>
      <c r="H62" s="1074" t="s">
        <v>589</v>
      </c>
      <c r="I62" s="1074" t="s">
        <v>414</v>
      </c>
      <c r="J62" s="1074" t="s">
        <v>559</v>
      </c>
      <c r="K62" s="1074"/>
      <c r="L62" s="1074" t="s">
        <v>538</v>
      </c>
      <c r="M62" s="1074" t="s">
        <v>434</v>
      </c>
      <c r="N62" s="1074" t="s">
        <v>435</v>
      </c>
      <c r="O62" s="1074" t="s">
        <v>538</v>
      </c>
      <c r="P62" s="1075"/>
      <c r="Q62" s="1074" t="s">
        <v>597</v>
      </c>
      <c r="R62" s="1074" t="s">
        <v>434</v>
      </c>
      <c r="S62" s="1074" t="s">
        <v>435</v>
      </c>
      <c r="T62" s="1074" t="s">
        <v>597</v>
      </c>
      <c r="U62" s="1075"/>
      <c r="V62" s="1074" t="s">
        <v>597</v>
      </c>
      <c r="W62" s="1074"/>
    </row>
    <row r="63" spans="4:23" customFormat="1">
      <c r="D63" s="1073" t="b">
        <v>1</v>
      </c>
      <c r="E63" s="1076"/>
      <c r="F63" s="1076"/>
      <c r="G63" s="1076"/>
      <c r="H63" s="1076"/>
      <c r="I63" s="1076"/>
      <c r="J63" s="1076"/>
      <c r="K63" s="1076"/>
      <c r="L63" s="1076"/>
      <c r="M63" s="1076"/>
      <c r="N63" s="1076"/>
      <c r="O63" s="1076"/>
      <c r="P63" s="1075"/>
      <c r="Q63" s="1076"/>
      <c r="R63" s="1076"/>
      <c r="S63" s="1076"/>
      <c r="T63" s="1076"/>
      <c r="U63" s="1075"/>
      <c r="V63" s="1076"/>
      <c r="W63" s="1076"/>
    </row>
    <row r="64" spans="4:23" customFormat="1">
      <c r="D64" s="1077" t="s">
        <v>436</v>
      </c>
      <c r="E64" s="1076"/>
      <c r="F64" s="1076"/>
      <c r="G64" s="1076"/>
      <c r="H64" s="1076"/>
      <c r="I64" s="1076"/>
      <c r="J64" s="1076"/>
      <c r="K64" s="1076"/>
      <c r="L64" s="1076"/>
      <c r="M64" s="1076"/>
      <c r="N64" s="1076"/>
      <c r="O64" s="1076"/>
      <c r="P64" s="1075"/>
      <c r="Q64" s="1076"/>
      <c r="R64" s="1076"/>
      <c r="S64" s="1076"/>
      <c r="T64" s="1076"/>
      <c r="U64" s="1075"/>
      <c r="V64" s="1076"/>
      <c r="W64" s="1076"/>
    </row>
    <row r="65" spans="4:23" customFormat="1">
      <c r="D65" s="1073" t="s">
        <v>432</v>
      </c>
      <c r="E65" s="1076">
        <f>+E15-E42</f>
        <v>0</v>
      </c>
      <c r="F65" s="1076">
        <f t="shared" ref="F65:W79" si="13">+F15-F42</f>
        <v>0</v>
      </c>
      <c r="G65" s="1076">
        <f t="shared" si="13"/>
        <v>0</v>
      </c>
      <c r="H65" s="1076">
        <f t="shared" si="13"/>
        <v>0</v>
      </c>
      <c r="I65" s="1076">
        <f t="shared" si="13"/>
        <v>0</v>
      </c>
      <c r="J65" s="1076">
        <f t="shared" si="13"/>
        <v>0</v>
      </c>
      <c r="K65" s="1076">
        <f t="shared" si="13"/>
        <v>0</v>
      </c>
      <c r="L65" s="1076">
        <f t="shared" si="13"/>
        <v>0</v>
      </c>
      <c r="M65" s="1076">
        <f t="shared" si="13"/>
        <v>0</v>
      </c>
      <c r="N65" s="1076">
        <f t="shared" si="13"/>
        <v>0</v>
      </c>
      <c r="O65" s="1076">
        <f t="shared" si="13"/>
        <v>0</v>
      </c>
      <c r="P65" s="1075"/>
      <c r="Q65" s="1076">
        <f t="shared" si="13"/>
        <v>0</v>
      </c>
      <c r="R65" s="1076">
        <f t="shared" si="13"/>
        <v>0</v>
      </c>
      <c r="S65" s="1076">
        <f t="shared" si="13"/>
        <v>0</v>
      </c>
      <c r="T65" s="1076">
        <f t="shared" si="13"/>
        <v>0</v>
      </c>
      <c r="U65" s="1075"/>
      <c r="V65" s="1076">
        <f t="shared" si="13"/>
        <v>0</v>
      </c>
      <c r="W65" s="1076">
        <f t="shared" si="13"/>
        <v>0</v>
      </c>
    </row>
    <row r="66" spans="4:23" customFormat="1">
      <c r="D66" s="1073" t="s">
        <v>433</v>
      </c>
      <c r="E66" s="1076">
        <f t="shared" ref="E66:T81" si="14">+E16-E43</f>
        <v>0</v>
      </c>
      <c r="F66" s="1076">
        <f t="shared" si="14"/>
        <v>0</v>
      </c>
      <c r="G66" s="1076">
        <f t="shared" si="14"/>
        <v>0</v>
      </c>
      <c r="H66" s="1076">
        <f t="shared" si="14"/>
        <v>0</v>
      </c>
      <c r="I66" s="1076">
        <f t="shared" si="14"/>
        <v>0</v>
      </c>
      <c r="J66" s="1076">
        <f t="shared" si="14"/>
        <v>0</v>
      </c>
      <c r="K66" s="1076">
        <f t="shared" si="14"/>
        <v>0</v>
      </c>
      <c r="L66" s="1076">
        <f t="shared" si="14"/>
        <v>0</v>
      </c>
      <c r="M66" s="1076">
        <f t="shared" si="14"/>
        <v>0</v>
      </c>
      <c r="N66" s="1076">
        <f t="shared" si="14"/>
        <v>0</v>
      </c>
      <c r="O66" s="1076">
        <f t="shared" si="14"/>
        <v>0</v>
      </c>
      <c r="P66" s="1075"/>
      <c r="Q66" s="1076">
        <f t="shared" si="14"/>
        <v>44174161.040494204</v>
      </c>
      <c r="R66" s="1076">
        <f t="shared" si="14"/>
        <v>0</v>
      </c>
      <c r="S66" s="1076">
        <f t="shared" si="14"/>
        <v>0</v>
      </c>
      <c r="T66" s="1076">
        <f t="shared" si="14"/>
        <v>44174161.040494204</v>
      </c>
      <c r="U66" s="1075"/>
      <c r="V66" s="1076">
        <f t="shared" si="13"/>
        <v>0</v>
      </c>
      <c r="W66" s="1076">
        <f t="shared" si="13"/>
        <v>44174161.040494204</v>
      </c>
    </row>
    <row r="67" spans="4:23" customFormat="1">
      <c r="D67" s="1073" t="s">
        <v>437</v>
      </c>
      <c r="E67" s="1076">
        <f t="shared" si="14"/>
        <v>0</v>
      </c>
      <c r="F67" s="1076">
        <f t="shared" si="13"/>
        <v>0</v>
      </c>
      <c r="G67" s="1076">
        <f t="shared" si="13"/>
        <v>0</v>
      </c>
      <c r="H67" s="1076">
        <f t="shared" si="13"/>
        <v>0</v>
      </c>
      <c r="I67" s="1076">
        <f t="shared" si="13"/>
        <v>0</v>
      </c>
      <c r="J67" s="1076">
        <f t="shared" si="13"/>
        <v>0</v>
      </c>
      <c r="K67" s="1076">
        <f t="shared" si="13"/>
        <v>0</v>
      </c>
      <c r="L67" s="1076">
        <f t="shared" si="13"/>
        <v>0</v>
      </c>
      <c r="M67" s="1076">
        <f t="shared" si="13"/>
        <v>0</v>
      </c>
      <c r="N67" s="1076">
        <f t="shared" si="13"/>
        <v>0</v>
      </c>
      <c r="O67" s="1076">
        <f t="shared" si="13"/>
        <v>0</v>
      </c>
      <c r="P67" s="1075"/>
      <c r="Q67" s="1076">
        <f t="shared" si="13"/>
        <v>-879801.06199991703</v>
      </c>
      <c r="R67" s="1076">
        <f t="shared" si="13"/>
        <v>0</v>
      </c>
      <c r="S67" s="1076">
        <f t="shared" si="13"/>
        <v>0</v>
      </c>
      <c r="T67" s="1076">
        <f t="shared" si="13"/>
        <v>-879801.06199991703</v>
      </c>
      <c r="U67" s="1075"/>
      <c r="V67" s="1076">
        <f t="shared" si="13"/>
        <v>0</v>
      </c>
      <c r="W67" s="1076">
        <f t="shared" si="13"/>
        <v>-879801.06199991703</v>
      </c>
    </row>
    <row r="68" spans="4:23" customFormat="1">
      <c r="D68" s="1073" t="s">
        <v>1496</v>
      </c>
      <c r="E68" s="1076">
        <f t="shared" si="14"/>
        <v>0</v>
      </c>
      <c r="F68" s="1076">
        <f t="shared" si="13"/>
        <v>0</v>
      </c>
      <c r="G68" s="1076">
        <f t="shared" si="13"/>
        <v>0</v>
      </c>
      <c r="H68" s="1076">
        <f t="shared" si="13"/>
        <v>0</v>
      </c>
      <c r="I68" s="1076">
        <f t="shared" si="13"/>
        <v>0</v>
      </c>
      <c r="J68" s="1076">
        <f t="shared" si="13"/>
        <v>0</v>
      </c>
      <c r="K68" s="1076">
        <f t="shared" si="13"/>
        <v>0</v>
      </c>
      <c r="L68" s="1078"/>
      <c r="M68" s="1076">
        <f t="shared" si="13"/>
        <v>0</v>
      </c>
      <c r="N68" s="1076">
        <f t="shared" si="13"/>
        <v>0</v>
      </c>
      <c r="O68" s="1076">
        <f t="shared" si="13"/>
        <v>0</v>
      </c>
      <c r="P68" s="1075"/>
      <c r="Q68" s="1076">
        <f t="shared" si="13"/>
        <v>0</v>
      </c>
      <c r="R68" s="1076">
        <f t="shared" si="13"/>
        <v>0</v>
      </c>
      <c r="S68" s="1076">
        <f t="shared" si="13"/>
        <v>0</v>
      </c>
      <c r="T68" s="1076">
        <f t="shared" si="13"/>
        <v>0</v>
      </c>
      <c r="U68" s="1075"/>
      <c r="V68" s="1076">
        <f t="shared" si="13"/>
        <v>0</v>
      </c>
      <c r="W68" s="1076">
        <f t="shared" si="13"/>
        <v>0</v>
      </c>
    </row>
    <row r="69" spans="4:23" customFormat="1">
      <c r="D69" s="1073" t="s">
        <v>438</v>
      </c>
      <c r="E69" s="1076">
        <f t="shared" si="14"/>
        <v>0</v>
      </c>
      <c r="F69" s="1076">
        <f t="shared" si="13"/>
        <v>0</v>
      </c>
      <c r="G69" s="1076">
        <f t="shared" si="13"/>
        <v>0</v>
      </c>
      <c r="H69" s="1076">
        <f t="shared" si="13"/>
        <v>0</v>
      </c>
      <c r="I69" s="1076">
        <f t="shared" si="13"/>
        <v>0</v>
      </c>
      <c r="J69" s="1076">
        <f t="shared" si="13"/>
        <v>0</v>
      </c>
      <c r="K69" s="1076">
        <f t="shared" si="13"/>
        <v>0</v>
      </c>
      <c r="L69" s="1076">
        <f t="shared" si="13"/>
        <v>0</v>
      </c>
      <c r="M69" s="1076">
        <f t="shared" si="13"/>
        <v>0</v>
      </c>
      <c r="N69" s="1076">
        <f t="shared" si="13"/>
        <v>0</v>
      </c>
      <c r="O69" s="1076">
        <f t="shared" si="13"/>
        <v>0</v>
      </c>
      <c r="P69" s="1075"/>
      <c r="Q69" s="1076">
        <f t="shared" si="13"/>
        <v>0</v>
      </c>
      <c r="R69" s="1076">
        <f t="shared" si="13"/>
        <v>0</v>
      </c>
      <c r="S69" s="1076">
        <f t="shared" si="13"/>
        <v>0</v>
      </c>
      <c r="T69" s="1076">
        <f t="shared" si="13"/>
        <v>0</v>
      </c>
      <c r="U69" s="1075"/>
      <c r="V69" s="1076">
        <f t="shared" si="13"/>
        <v>0</v>
      </c>
      <c r="W69" s="1076">
        <f t="shared" si="13"/>
        <v>0</v>
      </c>
    </row>
    <row r="70" spans="4:23" customFormat="1">
      <c r="D70" s="1073" t="s">
        <v>439</v>
      </c>
      <c r="E70" s="1076">
        <f t="shared" si="14"/>
        <v>0</v>
      </c>
      <c r="F70" s="1076">
        <f t="shared" si="13"/>
        <v>0</v>
      </c>
      <c r="G70" s="1076">
        <f t="shared" si="13"/>
        <v>0</v>
      </c>
      <c r="H70" s="1076">
        <f t="shared" si="13"/>
        <v>0</v>
      </c>
      <c r="I70" s="1076">
        <f t="shared" si="13"/>
        <v>0</v>
      </c>
      <c r="J70" s="1076">
        <f t="shared" si="13"/>
        <v>0</v>
      </c>
      <c r="K70" s="1076">
        <f t="shared" si="13"/>
        <v>0</v>
      </c>
      <c r="L70" s="1076">
        <f t="shared" si="13"/>
        <v>0</v>
      </c>
      <c r="M70" s="1076">
        <f t="shared" si="13"/>
        <v>0</v>
      </c>
      <c r="N70" s="1076">
        <f t="shared" si="13"/>
        <v>0</v>
      </c>
      <c r="O70" s="1076">
        <f t="shared" si="13"/>
        <v>0</v>
      </c>
      <c r="P70" s="1075"/>
      <c r="Q70" s="1076">
        <f t="shared" si="13"/>
        <v>0</v>
      </c>
      <c r="R70" s="1076">
        <f t="shared" si="13"/>
        <v>0</v>
      </c>
      <c r="S70" s="1076">
        <f t="shared" si="13"/>
        <v>0</v>
      </c>
      <c r="T70" s="1076">
        <f t="shared" si="13"/>
        <v>0</v>
      </c>
      <c r="U70" s="1075"/>
      <c r="V70" s="1076">
        <f t="shared" si="13"/>
        <v>0</v>
      </c>
      <c r="W70" s="1076">
        <f t="shared" si="13"/>
        <v>0</v>
      </c>
    </row>
    <row r="71" spans="4:23" customFormat="1">
      <c r="D71" s="1073" t="s">
        <v>440</v>
      </c>
      <c r="E71" s="1076">
        <f t="shared" si="14"/>
        <v>0</v>
      </c>
      <c r="F71" s="1076">
        <f t="shared" si="13"/>
        <v>0</v>
      </c>
      <c r="G71" s="1076">
        <f t="shared" si="13"/>
        <v>0</v>
      </c>
      <c r="H71" s="1076">
        <f t="shared" si="13"/>
        <v>0</v>
      </c>
      <c r="I71" s="1076">
        <f t="shared" si="13"/>
        <v>0</v>
      </c>
      <c r="J71" s="1076">
        <f t="shared" si="13"/>
        <v>0</v>
      </c>
      <c r="K71" s="1076">
        <f t="shared" si="13"/>
        <v>0</v>
      </c>
      <c r="L71" s="1076">
        <f t="shared" si="13"/>
        <v>0</v>
      </c>
      <c r="M71" s="1076">
        <f t="shared" si="13"/>
        <v>0</v>
      </c>
      <c r="N71" s="1076">
        <f t="shared" si="13"/>
        <v>0</v>
      </c>
      <c r="O71" s="1076">
        <f t="shared" si="13"/>
        <v>0</v>
      </c>
      <c r="P71" s="1075"/>
      <c r="Q71" s="1076">
        <f t="shared" si="13"/>
        <v>0</v>
      </c>
      <c r="R71" s="1076">
        <f t="shared" si="13"/>
        <v>0</v>
      </c>
      <c r="S71" s="1076">
        <f t="shared" si="13"/>
        <v>0</v>
      </c>
      <c r="T71" s="1076">
        <f t="shared" si="13"/>
        <v>0</v>
      </c>
      <c r="U71" s="1075"/>
      <c r="V71" s="1076">
        <f t="shared" si="13"/>
        <v>0</v>
      </c>
      <c r="W71" s="1076">
        <f t="shared" si="13"/>
        <v>0</v>
      </c>
    </row>
    <row r="72" spans="4:23" customFormat="1">
      <c r="D72" s="1073" t="s">
        <v>2</v>
      </c>
      <c r="E72" s="1076">
        <f t="shared" si="14"/>
        <v>0</v>
      </c>
      <c r="F72" s="1076">
        <f t="shared" si="13"/>
        <v>0</v>
      </c>
      <c r="G72" s="1076">
        <f t="shared" si="13"/>
        <v>0</v>
      </c>
      <c r="H72" s="1076">
        <f t="shared" si="13"/>
        <v>0</v>
      </c>
      <c r="I72" s="1076">
        <f t="shared" si="13"/>
        <v>0</v>
      </c>
      <c r="J72" s="1076">
        <f t="shared" si="13"/>
        <v>0</v>
      </c>
      <c r="K72" s="1076">
        <f t="shared" si="13"/>
        <v>0</v>
      </c>
      <c r="L72" s="1076">
        <f t="shared" si="13"/>
        <v>0</v>
      </c>
      <c r="M72" s="1076">
        <f t="shared" si="13"/>
        <v>0</v>
      </c>
      <c r="N72" s="1076">
        <f t="shared" si="13"/>
        <v>0</v>
      </c>
      <c r="O72" s="1076">
        <f t="shared" si="13"/>
        <v>0</v>
      </c>
      <c r="P72" s="1075"/>
      <c r="Q72" s="1076">
        <f t="shared" si="13"/>
        <v>-66857244.339465767</v>
      </c>
      <c r="R72" s="1076">
        <f t="shared" si="13"/>
        <v>0</v>
      </c>
      <c r="S72" s="1076">
        <f t="shared" si="13"/>
        <v>0</v>
      </c>
      <c r="T72" s="1076">
        <f t="shared" si="13"/>
        <v>-66857244.339465767</v>
      </c>
      <c r="U72" s="1075"/>
      <c r="V72" s="1076">
        <f t="shared" si="13"/>
        <v>0</v>
      </c>
      <c r="W72" s="1076">
        <f t="shared" si="13"/>
        <v>-66857244.339465767</v>
      </c>
    </row>
    <row r="73" spans="4:23" customFormat="1">
      <c r="D73" s="1073" t="s">
        <v>441</v>
      </c>
      <c r="E73" s="1076">
        <f t="shared" si="14"/>
        <v>0</v>
      </c>
      <c r="F73" s="1076">
        <f t="shared" si="13"/>
        <v>0</v>
      </c>
      <c r="G73" s="1076">
        <f t="shared" si="13"/>
        <v>0</v>
      </c>
      <c r="H73" s="1076">
        <f t="shared" si="13"/>
        <v>0</v>
      </c>
      <c r="I73" s="1076">
        <f t="shared" si="13"/>
        <v>0</v>
      </c>
      <c r="J73" s="1076">
        <f t="shared" si="13"/>
        <v>0</v>
      </c>
      <c r="K73" s="1076">
        <f t="shared" si="13"/>
        <v>0</v>
      </c>
      <c r="L73" s="1076">
        <f t="shared" si="13"/>
        <v>0</v>
      </c>
      <c r="M73" s="1076">
        <f t="shared" si="13"/>
        <v>0</v>
      </c>
      <c r="N73" s="1076">
        <f t="shared" si="13"/>
        <v>0</v>
      </c>
      <c r="O73" s="1076">
        <f t="shared" si="13"/>
        <v>0</v>
      </c>
      <c r="P73" s="1075"/>
      <c r="Q73" s="1076">
        <f t="shared" si="13"/>
        <v>0</v>
      </c>
      <c r="R73" s="1076">
        <f t="shared" si="13"/>
        <v>0</v>
      </c>
      <c r="S73" s="1076">
        <f t="shared" si="13"/>
        <v>0</v>
      </c>
      <c r="T73" s="1076">
        <f t="shared" si="13"/>
        <v>0</v>
      </c>
      <c r="U73" s="1075"/>
      <c r="V73" s="1076">
        <f t="shared" si="13"/>
        <v>0</v>
      </c>
      <c r="W73" s="1076">
        <f t="shared" si="13"/>
        <v>0</v>
      </c>
    </row>
    <row r="74" spans="4:23" customFormat="1">
      <c r="D74" s="1079" t="s">
        <v>361</v>
      </c>
      <c r="E74" s="1080">
        <f t="shared" si="14"/>
        <v>0</v>
      </c>
      <c r="F74" s="1080">
        <f t="shared" si="13"/>
        <v>0</v>
      </c>
      <c r="G74" s="1080">
        <f t="shared" si="13"/>
        <v>0</v>
      </c>
      <c r="H74" s="1080">
        <f t="shared" si="13"/>
        <v>0</v>
      </c>
      <c r="I74" s="1080">
        <f t="shared" si="13"/>
        <v>0</v>
      </c>
      <c r="J74" s="1080">
        <f t="shared" si="13"/>
        <v>0</v>
      </c>
      <c r="K74" s="1080">
        <f t="shared" si="13"/>
        <v>0</v>
      </c>
      <c r="L74" s="1080">
        <f t="shared" si="13"/>
        <v>0</v>
      </c>
      <c r="M74" s="1080">
        <f t="shared" si="13"/>
        <v>0</v>
      </c>
      <c r="N74" s="1080">
        <f t="shared" si="13"/>
        <v>0</v>
      </c>
      <c r="O74" s="1080">
        <f t="shared" si="13"/>
        <v>0</v>
      </c>
      <c r="P74" s="1075"/>
      <c r="Q74" s="1080">
        <f t="shared" si="13"/>
        <v>-23562884.360971928</v>
      </c>
      <c r="R74" s="1080">
        <f t="shared" si="13"/>
        <v>0</v>
      </c>
      <c r="S74" s="1080">
        <f t="shared" si="13"/>
        <v>0</v>
      </c>
      <c r="T74" s="1080">
        <f t="shared" si="13"/>
        <v>-23562884.360971451</v>
      </c>
      <c r="U74" s="1075"/>
      <c r="V74" s="1080">
        <f t="shared" si="13"/>
        <v>0</v>
      </c>
      <c r="W74" s="1080">
        <f t="shared" si="13"/>
        <v>-23562884.360971451</v>
      </c>
    </row>
    <row r="75" spans="4:23" customFormat="1">
      <c r="D75" s="1081" t="s">
        <v>442</v>
      </c>
      <c r="E75" s="1076">
        <f t="shared" si="14"/>
        <v>0</v>
      </c>
      <c r="F75" s="1076">
        <f t="shared" si="13"/>
        <v>0</v>
      </c>
      <c r="G75" s="1082" t="e">
        <f t="shared" si="13"/>
        <v>#VALUE!</v>
      </c>
      <c r="H75" s="1083">
        <f t="shared" si="13"/>
        <v>0</v>
      </c>
      <c r="I75" s="1076">
        <f t="shared" si="13"/>
        <v>0</v>
      </c>
      <c r="J75" s="1083">
        <f t="shared" si="13"/>
        <v>0</v>
      </c>
      <c r="K75" s="1076">
        <f t="shared" si="13"/>
        <v>0</v>
      </c>
      <c r="L75" s="1076">
        <f t="shared" si="13"/>
        <v>0</v>
      </c>
      <c r="M75" s="1076">
        <f t="shared" si="13"/>
        <v>0</v>
      </c>
      <c r="N75" s="1076">
        <f t="shared" si="13"/>
        <v>0</v>
      </c>
      <c r="O75" s="1083">
        <f t="shared" si="13"/>
        <v>0</v>
      </c>
      <c r="P75" s="1075"/>
      <c r="Q75" s="1076">
        <f t="shared" si="13"/>
        <v>0</v>
      </c>
      <c r="R75" s="1076">
        <f t="shared" si="13"/>
        <v>0</v>
      </c>
      <c r="S75" s="1076">
        <f t="shared" si="13"/>
        <v>0</v>
      </c>
      <c r="T75" s="1083">
        <f t="shared" si="13"/>
        <v>0</v>
      </c>
      <c r="U75" s="1075"/>
      <c r="V75" s="1083">
        <f t="shared" si="13"/>
        <v>0</v>
      </c>
      <c r="W75" s="1083">
        <f t="shared" si="13"/>
        <v>0</v>
      </c>
    </row>
    <row r="76" spans="4:23" customFormat="1">
      <c r="D76" s="1077" t="s">
        <v>443</v>
      </c>
      <c r="E76" s="1076">
        <f t="shared" si="14"/>
        <v>0</v>
      </c>
      <c r="F76" s="1076">
        <f t="shared" si="13"/>
        <v>0</v>
      </c>
      <c r="G76" s="1076">
        <f t="shared" si="13"/>
        <v>0</v>
      </c>
      <c r="H76" s="1076">
        <f t="shared" si="13"/>
        <v>0</v>
      </c>
      <c r="I76" s="1076">
        <f t="shared" si="13"/>
        <v>0</v>
      </c>
      <c r="J76" s="1076">
        <f t="shared" si="13"/>
        <v>0</v>
      </c>
      <c r="K76" s="1076">
        <f t="shared" si="13"/>
        <v>0</v>
      </c>
      <c r="L76" s="1076">
        <f t="shared" si="13"/>
        <v>0</v>
      </c>
      <c r="M76" s="1076">
        <f t="shared" si="13"/>
        <v>0</v>
      </c>
      <c r="N76" s="1076">
        <f t="shared" si="13"/>
        <v>0</v>
      </c>
      <c r="O76" s="1076">
        <f t="shared" si="13"/>
        <v>0</v>
      </c>
      <c r="P76" s="1075"/>
      <c r="Q76" s="1076">
        <f t="shared" si="13"/>
        <v>0</v>
      </c>
      <c r="R76" s="1076">
        <f t="shared" si="13"/>
        <v>0</v>
      </c>
      <c r="S76" s="1076">
        <f t="shared" si="13"/>
        <v>0</v>
      </c>
      <c r="T76" s="1076">
        <f t="shared" si="13"/>
        <v>0</v>
      </c>
      <c r="U76" s="1075"/>
      <c r="V76" s="1076">
        <f t="shared" si="13"/>
        <v>0</v>
      </c>
      <c r="W76" s="1076">
        <f t="shared" si="13"/>
        <v>0</v>
      </c>
    </row>
    <row r="77" spans="4:23" customFormat="1">
      <c r="D77" s="1084" t="s">
        <v>360</v>
      </c>
      <c r="E77" s="1076">
        <f t="shared" si="14"/>
        <v>0</v>
      </c>
      <c r="F77" s="1076">
        <f t="shared" si="13"/>
        <v>0</v>
      </c>
      <c r="G77" s="1076">
        <f t="shared" si="13"/>
        <v>0</v>
      </c>
      <c r="H77" s="1076">
        <f t="shared" si="13"/>
        <v>0</v>
      </c>
      <c r="I77" s="1076">
        <f t="shared" si="13"/>
        <v>0</v>
      </c>
      <c r="J77" s="1076">
        <f t="shared" si="13"/>
        <v>0</v>
      </c>
      <c r="K77" s="1076">
        <f t="shared" si="13"/>
        <v>0</v>
      </c>
      <c r="L77" s="1076">
        <f t="shared" si="13"/>
        <v>0</v>
      </c>
      <c r="M77" s="1076">
        <f t="shared" si="13"/>
        <v>0</v>
      </c>
      <c r="N77" s="1076">
        <f t="shared" si="13"/>
        <v>0</v>
      </c>
      <c r="O77" s="1076">
        <f t="shared" si="13"/>
        <v>0</v>
      </c>
      <c r="P77" s="1075"/>
      <c r="Q77" s="1076">
        <f t="shared" si="13"/>
        <v>0</v>
      </c>
      <c r="R77" s="1076">
        <f t="shared" si="13"/>
        <v>0</v>
      </c>
      <c r="S77" s="1076">
        <f t="shared" si="13"/>
        <v>0</v>
      </c>
      <c r="T77" s="1076">
        <f t="shared" si="13"/>
        <v>0</v>
      </c>
      <c r="U77" s="1075"/>
      <c r="V77" s="1076">
        <f t="shared" si="13"/>
        <v>0</v>
      </c>
      <c r="W77" s="1076">
        <f t="shared" si="13"/>
        <v>0</v>
      </c>
    </row>
    <row r="78" spans="4:23" customFormat="1">
      <c r="D78" s="1079" t="s">
        <v>358</v>
      </c>
      <c r="E78" s="1076">
        <f t="shared" si="14"/>
        <v>0</v>
      </c>
      <c r="F78" s="1076">
        <f t="shared" si="13"/>
        <v>0</v>
      </c>
      <c r="G78" s="1076">
        <f t="shared" si="13"/>
        <v>0</v>
      </c>
      <c r="H78" s="1076">
        <f t="shared" si="13"/>
        <v>0</v>
      </c>
      <c r="I78" s="1076">
        <f t="shared" si="13"/>
        <v>0</v>
      </c>
      <c r="J78" s="1076">
        <f t="shared" si="13"/>
        <v>0</v>
      </c>
      <c r="K78" s="1076">
        <f t="shared" si="13"/>
        <v>0</v>
      </c>
      <c r="L78" s="1076">
        <f t="shared" si="13"/>
        <v>0</v>
      </c>
      <c r="M78" s="1076">
        <f t="shared" si="13"/>
        <v>0</v>
      </c>
      <c r="N78" s="1076">
        <f t="shared" si="13"/>
        <v>0</v>
      </c>
      <c r="O78" s="1076">
        <f t="shared" si="13"/>
        <v>0</v>
      </c>
      <c r="P78" s="1075"/>
      <c r="Q78" s="1076">
        <f t="shared" si="13"/>
        <v>0</v>
      </c>
      <c r="R78" s="1076">
        <f t="shared" si="13"/>
        <v>0</v>
      </c>
      <c r="S78" s="1076">
        <f t="shared" si="13"/>
        <v>0</v>
      </c>
      <c r="T78" s="1076">
        <f t="shared" si="13"/>
        <v>0</v>
      </c>
      <c r="U78" s="1075"/>
      <c r="V78" s="1076">
        <f t="shared" si="13"/>
        <v>0</v>
      </c>
      <c r="W78" s="1076">
        <f t="shared" si="13"/>
        <v>0</v>
      </c>
    </row>
    <row r="79" spans="4:23" customFormat="1">
      <c r="D79" s="1079" t="s">
        <v>355</v>
      </c>
      <c r="E79" s="1076">
        <f t="shared" si="14"/>
        <v>0</v>
      </c>
      <c r="F79" s="1076">
        <f t="shared" si="13"/>
        <v>0</v>
      </c>
      <c r="G79" s="1076">
        <f t="shared" si="13"/>
        <v>0</v>
      </c>
      <c r="H79" s="1076">
        <f t="shared" si="13"/>
        <v>0</v>
      </c>
      <c r="I79" s="1076">
        <f t="shared" si="13"/>
        <v>0</v>
      </c>
      <c r="J79" s="1076">
        <f t="shared" si="13"/>
        <v>0</v>
      </c>
      <c r="K79" s="1076">
        <f t="shared" si="13"/>
        <v>0</v>
      </c>
      <c r="L79" s="1076">
        <f t="shared" si="13"/>
        <v>0</v>
      </c>
      <c r="M79" s="1076">
        <f t="shared" si="13"/>
        <v>0</v>
      </c>
      <c r="N79" s="1076">
        <f t="shared" si="13"/>
        <v>0</v>
      </c>
      <c r="O79" s="1076">
        <f t="shared" si="13"/>
        <v>0</v>
      </c>
      <c r="P79" s="1075"/>
      <c r="Q79" s="1076">
        <f t="shared" si="13"/>
        <v>0</v>
      </c>
      <c r="R79" s="1076">
        <f t="shared" si="13"/>
        <v>0</v>
      </c>
      <c r="S79" s="1076">
        <f t="shared" si="13"/>
        <v>0</v>
      </c>
      <c r="T79" s="1076">
        <f t="shared" si="13"/>
        <v>0</v>
      </c>
      <c r="U79" s="1075"/>
      <c r="V79" s="1076">
        <f t="shared" si="13"/>
        <v>0</v>
      </c>
      <c r="W79" s="1076">
        <f t="shared" si="13"/>
        <v>0</v>
      </c>
    </row>
    <row r="80" spans="4:23" customFormat="1">
      <c r="D80" s="1079" t="s">
        <v>352</v>
      </c>
      <c r="E80" s="1076">
        <f t="shared" si="14"/>
        <v>0</v>
      </c>
      <c r="F80" s="1076">
        <f t="shared" ref="F80:W81" si="15">+F30-F57</f>
        <v>0</v>
      </c>
      <c r="G80" s="1076">
        <f t="shared" si="15"/>
        <v>0</v>
      </c>
      <c r="H80" s="1076">
        <f t="shared" si="15"/>
        <v>0</v>
      </c>
      <c r="I80" s="1076">
        <f t="shared" si="15"/>
        <v>0</v>
      </c>
      <c r="J80" s="1076">
        <f t="shared" si="15"/>
        <v>0</v>
      </c>
      <c r="K80" s="1076">
        <f t="shared" si="15"/>
        <v>0</v>
      </c>
      <c r="L80" s="1076">
        <f t="shared" si="15"/>
        <v>0</v>
      </c>
      <c r="M80" s="1076">
        <f t="shared" si="15"/>
        <v>0</v>
      </c>
      <c r="N80" s="1076">
        <f t="shared" si="15"/>
        <v>0</v>
      </c>
      <c r="O80" s="1076">
        <f t="shared" si="15"/>
        <v>0</v>
      </c>
      <c r="P80" s="1075"/>
      <c r="Q80" s="1076">
        <f t="shared" si="15"/>
        <v>0</v>
      </c>
      <c r="R80" s="1076">
        <f t="shared" si="15"/>
        <v>0</v>
      </c>
      <c r="S80" s="1076">
        <f t="shared" si="15"/>
        <v>0</v>
      </c>
      <c r="T80" s="1076">
        <f t="shared" si="15"/>
        <v>0</v>
      </c>
      <c r="U80" s="1075"/>
      <c r="V80" s="1076">
        <f t="shared" si="15"/>
        <v>0</v>
      </c>
      <c r="W80" s="1076">
        <f t="shared" si="15"/>
        <v>0</v>
      </c>
    </row>
    <row r="81" spans="1:23" customFormat="1" ht="13.5" thickBot="1">
      <c r="D81" s="1079" t="s">
        <v>351</v>
      </c>
      <c r="E81" s="1085">
        <f t="shared" si="14"/>
        <v>0</v>
      </c>
      <c r="F81" s="1085">
        <f t="shared" si="15"/>
        <v>0</v>
      </c>
      <c r="G81" s="1085">
        <f t="shared" si="15"/>
        <v>0</v>
      </c>
      <c r="H81" s="1085">
        <f t="shared" si="15"/>
        <v>0</v>
      </c>
      <c r="I81" s="1085">
        <f t="shared" si="15"/>
        <v>0</v>
      </c>
      <c r="J81" s="1085">
        <f t="shared" si="15"/>
        <v>0</v>
      </c>
      <c r="K81" s="1085">
        <f t="shared" si="15"/>
        <v>0</v>
      </c>
      <c r="L81" s="1085">
        <f t="shared" si="15"/>
        <v>0</v>
      </c>
      <c r="M81" s="1085">
        <f t="shared" si="15"/>
        <v>0</v>
      </c>
      <c r="N81" s="1085">
        <f t="shared" si="15"/>
        <v>0</v>
      </c>
      <c r="O81" s="1085">
        <f t="shared" si="15"/>
        <v>0</v>
      </c>
      <c r="P81" s="1075"/>
      <c r="Q81" s="1085">
        <f t="shared" si="15"/>
        <v>-23562884.360971928</v>
      </c>
      <c r="R81" s="1085">
        <f t="shared" si="15"/>
        <v>0</v>
      </c>
      <c r="S81" s="1085">
        <f t="shared" si="15"/>
        <v>0</v>
      </c>
      <c r="T81" s="1085">
        <f t="shared" si="15"/>
        <v>-23562884.360971451</v>
      </c>
      <c r="U81" s="1075"/>
      <c r="V81" s="1085">
        <f t="shared" si="15"/>
        <v>0</v>
      </c>
      <c r="W81" s="1085">
        <f t="shared" si="15"/>
        <v>-23562884.360971451</v>
      </c>
    </row>
    <row r="82" spans="1:23" customFormat="1" ht="13.5" thickTop="1"/>
    <row r="83" spans="1:23" customFormat="1">
      <c r="V83" s="1052" t="s">
        <v>1501</v>
      </c>
      <c r="W83" s="1053">
        <f>'[3]Power cost summary (C)'!$F$63*1000</f>
        <v>-23562884.36097163</v>
      </c>
    </row>
    <row r="84" spans="1:23" customFormat="1">
      <c r="V84" s="1052" t="s">
        <v>1502</v>
      </c>
      <c r="W84" s="1054">
        <f>W81-W83</f>
        <v>1.7881393432617188E-7</v>
      </c>
    </row>
    <row r="85" spans="1:2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2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</sheetData>
  <printOptions horizontalCentered="1"/>
  <pageMargins left="0.2" right="0.2" top="0.75" bottom="0.75" header="0.3" footer="0.3"/>
  <pageSetup scale="89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U81"/>
  <sheetViews>
    <sheetView topLeftCell="A27" zoomScaleNormal="100" workbookViewId="0">
      <selection activeCell="A43" sqref="A43"/>
    </sheetView>
  </sheetViews>
  <sheetFormatPr defaultRowHeight="12.75"/>
  <cols>
    <col min="1" max="1" width="7.85546875" style="191" customWidth="1"/>
    <col min="2" max="2" width="27" style="191" customWidth="1"/>
    <col min="3" max="3" width="12.5703125" style="916" customWidth="1"/>
    <col min="4" max="4" width="12.140625" style="916" customWidth="1"/>
    <col min="5" max="5" width="3.140625" style="191" customWidth="1"/>
    <col min="6" max="6" width="17.5703125" style="191" customWidth="1"/>
    <col min="7" max="7" width="3.42578125" style="191" customWidth="1"/>
    <col min="8" max="8" width="10.85546875" style="916" bestFit="1" customWidth="1"/>
    <col min="9" max="10" width="11.140625" style="916" bestFit="1" customWidth="1"/>
    <col min="11" max="11" width="10.85546875" style="916" bestFit="1" customWidth="1"/>
    <col min="12" max="12" width="11.28515625" style="916" bestFit="1" customWidth="1"/>
    <col min="13" max="18" width="10.85546875" style="916" bestFit="1" customWidth="1"/>
    <col min="19" max="19" width="11.140625" style="916" bestFit="1" customWidth="1"/>
    <col min="20" max="16384" width="9.140625" style="37"/>
  </cols>
  <sheetData>
    <row r="1" spans="1:21" ht="18.75">
      <c r="A1" s="530" t="s">
        <v>368</v>
      </c>
      <c r="B1" s="531"/>
      <c r="C1"/>
      <c r="D1"/>
      <c r="E1"/>
      <c r="F1"/>
      <c r="G1"/>
      <c r="H1"/>
      <c r="I1"/>
      <c r="J1"/>
      <c r="K1" s="532"/>
      <c r="L1" s="532"/>
      <c r="N1" s="917"/>
      <c r="O1" s="532"/>
      <c r="P1" s="532"/>
      <c r="Q1" s="532"/>
      <c r="R1" s="532"/>
      <c r="S1" s="532"/>
    </row>
    <row r="2" spans="1:21" ht="18.75">
      <c r="A2" s="918" t="s">
        <v>1495</v>
      </c>
      <c r="B2" s="531"/>
      <c r="C2"/>
      <c r="D2"/>
      <c r="E2"/>
      <c r="F2"/>
      <c r="G2"/>
      <c r="H2"/>
      <c r="I2"/>
      <c r="J2"/>
      <c r="K2" s="532"/>
      <c r="L2" s="532"/>
      <c r="N2" s="919"/>
      <c r="O2" s="532"/>
      <c r="P2" s="532"/>
      <c r="Q2" s="532"/>
      <c r="R2" s="532"/>
      <c r="S2" s="532"/>
    </row>
    <row r="3" spans="1:21" ht="21">
      <c r="A3" s="533" t="s">
        <v>1458</v>
      </c>
      <c r="B3" s="531"/>
      <c r="C3"/>
      <c r="D3"/>
      <c r="E3"/>
      <c r="F3"/>
      <c r="G3"/>
      <c r="H3"/>
      <c r="I3"/>
      <c r="J3"/>
      <c r="K3" s="532"/>
      <c r="L3" s="920"/>
      <c r="N3" s="919"/>
      <c r="O3" s="920"/>
      <c r="P3" s="920"/>
      <c r="Q3" s="920"/>
      <c r="R3" s="920"/>
      <c r="S3" s="532"/>
    </row>
    <row r="4" spans="1:21" ht="18.75">
      <c r="A4" s="838"/>
      <c r="B4" s="535"/>
      <c r="C4"/>
      <c r="D4"/>
      <c r="E4"/>
      <c r="F4"/>
      <c r="G4"/>
      <c r="H4"/>
      <c r="I4"/>
      <c r="J4"/>
      <c r="K4" s="920"/>
      <c r="L4" s="920"/>
      <c r="N4" s="919"/>
      <c r="O4" s="920"/>
      <c r="P4" s="920"/>
      <c r="Q4" s="920"/>
      <c r="R4" s="920"/>
      <c r="S4" s="532"/>
    </row>
    <row r="5" spans="1:21" ht="15">
      <c r="B5" s="531"/>
      <c r="C5" s="536"/>
      <c r="D5" s="536"/>
      <c r="E5" s="921"/>
      <c r="F5" s="531"/>
      <c r="G5" s="921"/>
      <c r="H5" s="922"/>
      <c r="I5" s="923"/>
      <c r="J5" s="923"/>
      <c r="K5" s="923"/>
      <c r="L5" s="922"/>
      <c r="N5" s="924"/>
      <c r="O5" s="922"/>
      <c r="P5" s="922"/>
      <c r="Q5" s="922"/>
    </row>
    <row r="6" spans="1:21" ht="30">
      <c r="A6" s="925" t="s">
        <v>416</v>
      </c>
      <c r="B6" s="926" t="s">
        <v>417</v>
      </c>
      <c r="C6" s="927" t="s">
        <v>1498</v>
      </c>
      <c r="D6" s="928" t="s">
        <v>1499</v>
      </c>
      <c r="E6" s="536"/>
      <c r="F6" s="927" t="s">
        <v>1500</v>
      </c>
      <c r="G6" s="53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5">
      <c r="A7" s="929">
        <v>501</v>
      </c>
      <c r="B7" s="543" t="s">
        <v>418</v>
      </c>
      <c r="C7" s="930">
        <v>55531.891799999998</v>
      </c>
      <c r="D7" s="931">
        <v>65690.561135987547</v>
      </c>
      <c r="E7" s="932"/>
      <c r="F7" s="933">
        <f t="shared" ref="F7:F18" si="0">C7-D7</f>
        <v>-10158.66933598755</v>
      </c>
      <c r="G7" s="932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5">
      <c r="A8" s="929">
        <v>547</v>
      </c>
      <c r="B8" s="547" t="s">
        <v>419</v>
      </c>
      <c r="C8" s="930">
        <v>324050.14669745835</v>
      </c>
      <c r="D8" s="931">
        <v>500342.45447306603</v>
      </c>
      <c r="E8" s="932"/>
      <c r="F8" s="933">
        <f t="shared" si="0"/>
        <v>-176292.30777560768</v>
      </c>
      <c r="G8" s="932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5">
      <c r="A9" s="929" t="s">
        <v>430</v>
      </c>
      <c r="B9" s="547" t="s">
        <v>431</v>
      </c>
      <c r="C9" s="930">
        <v>76718.036900000006</v>
      </c>
      <c r="D9" s="931">
        <v>76315.417629999996</v>
      </c>
      <c r="E9" s="932"/>
      <c r="F9" s="933">
        <f t="shared" si="0"/>
        <v>402.61927000001015</v>
      </c>
      <c r="G9" s="932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5">
      <c r="A10" s="934" t="s">
        <v>420</v>
      </c>
      <c r="B10" s="547" t="s">
        <v>421</v>
      </c>
      <c r="C10" s="930">
        <v>275779.13876489893</v>
      </c>
      <c r="D10" s="931">
        <v>218065.53486061268</v>
      </c>
      <c r="E10" s="932"/>
      <c r="F10" s="933">
        <f t="shared" si="0"/>
        <v>57713.603904286254</v>
      </c>
      <c r="G10" s="932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5">
      <c r="A11" s="934" t="s">
        <v>422</v>
      </c>
      <c r="B11" s="547" t="s">
        <v>423</v>
      </c>
      <c r="C11" s="930">
        <v>157149.61274753051</v>
      </c>
      <c r="D11" s="931">
        <v>84004.754489873885</v>
      </c>
      <c r="E11" s="932"/>
      <c r="F11" s="933">
        <f t="shared" si="0"/>
        <v>73144.858257656626</v>
      </c>
      <c r="G11" s="932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">
      <c r="A12" s="929">
        <v>555</v>
      </c>
      <c r="B12" s="547" t="s">
        <v>424</v>
      </c>
      <c r="C12" s="930">
        <v>421046.35790042009</v>
      </c>
      <c r="D12" s="931">
        <v>449217.67730999494</v>
      </c>
      <c r="E12" s="932"/>
      <c r="F12" s="933">
        <f t="shared" si="0"/>
        <v>-28171.319409574848</v>
      </c>
      <c r="G12" s="93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">
      <c r="A13" s="929">
        <v>447</v>
      </c>
      <c r="B13" s="547" t="s">
        <v>425</v>
      </c>
      <c r="C13" s="930">
        <v>-249029.76449999996</v>
      </c>
      <c r="D13" s="931">
        <v>-482089.56740599999</v>
      </c>
      <c r="E13" s="932"/>
      <c r="F13" s="933">
        <f t="shared" si="0"/>
        <v>233059.80290600003</v>
      </c>
      <c r="G13" s="932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>
      <c r="A14" s="1051">
        <v>565</v>
      </c>
      <c r="B14" s="547" t="s">
        <v>426</v>
      </c>
      <c r="C14" s="930">
        <v>153226.72655457238</v>
      </c>
      <c r="D14" s="931">
        <v>135051.87015063089</v>
      </c>
      <c r="E14" s="932"/>
      <c r="F14" s="933">
        <f t="shared" si="0"/>
        <v>18174.856403941492</v>
      </c>
      <c r="G14" s="932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">
      <c r="A15" s="1051">
        <v>456</v>
      </c>
      <c r="B15" s="547" t="s">
        <v>427</v>
      </c>
      <c r="C15" s="930">
        <v>-126901.3578175639</v>
      </c>
      <c r="D15" s="931">
        <v>-130266.75517406844</v>
      </c>
      <c r="E15" s="932"/>
      <c r="F15" s="933">
        <f t="shared" si="0"/>
        <v>3365.3973565045453</v>
      </c>
      <c r="G15" s="932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">
      <c r="A16" s="934" t="s">
        <v>1494</v>
      </c>
      <c r="B16" s="547" t="s">
        <v>1493</v>
      </c>
      <c r="C16" s="930">
        <v>11391.237017779689</v>
      </c>
      <c r="D16" s="931"/>
      <c r="E16" s="932"/>
      <c r="F16" s="933">
        <f t="shared" si="0"/>
        <v>11391.237017779689</v>
      </c>
      <c r="G16" s="932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.75" thickBot="1">
      <c r="A17" s="929">
        <v>557</v>
      </c>
      <c r="B17" s="547" t="s">
        <v>428</v>
      </c>
      <c r="C17" s="930">
        <v>17153.94262085393</v>
      </c>
      <c r="D17" s="931">
        <v>16711.586023277483</v>
      </c>
      <c r="E17" s="932"/>
      <c r="F17" s="933">
        <f t="shared" si="0"/>
        <v>442.3565975764468</v>
      </c>
      <c r="G17" s="932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.75" thickTop="1">
      <c r="A18" s="935"/>
      <c r="B18" s="936" t="s">
        <v>429</v>
      </c>
      <c r="C18" s="937">
        <f t="shared" ref="C18:D18" si="1">SUM(C7:C17)</f>
        <v>1116115.9686859497</v>
      </c>
      <c r="D18" s="938">
        <f t="shared" si="1"/>
        <v>933043.53349337506</v>
      </c>
      <c r="E18" s="939"/>
      <c r="F18" s="940">
        <f t="shared" si="0"/>
        <v>183072.43519257463</v>
      </c>
      <c r="G18" s="939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>
      <c r="A19" s="929"/>
      <c r="B19" s="909"/>
      <c r="C19" s="908"/>
      <c r="D19" s="941"/>
      <c r="E19" s="547"/>
      <c r="F19" s="908"/>
      <c r="G19" s="942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5">
      <c r="A20" s="943"/>
      <c r="B20" s="944" t="s">
        <v>1492</v>
      </c>
      <c r="C20" s="945">
        <v>22302742.952586181</v>
      </c>
      <c r="D20" s="559">
        <v>21489772.881923761</v>
      </c>
      <c r="E20" s="563"/>
      <c r="F20" s="946">
        <f>C20-D20</f>
        <v>812970.07066242024</v>
      </c>
      <c r="G20" s="942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">
      <c r="A21" s="947"/>
      <c r="B21" s="557" t="s">
        <v>1491</v>
      </c>
      <c r="C21" s="948">
        <f>C18*1000/C20</f>
        <v>50.043887922607617</v>
      </c>
      <c r="D21" s="949">
        <f t="shared" ref="D21" si="2">D18*1000/D20</f>
        <v>43.418026733926524</v>
      </c>
      <c r="E21" s="563"/>
      <c r="F21" s="950">
        <f>C21-D21</f>
        <v>6.6258611886810925</v>
      </c>
      <c r="G21" s="942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">
      <c r="C22" s="560"/>
      <c r="D22" s="561"/>
      <c r="E22" s="563"/>
      <c r="G22" s="94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>
      <c r="A23" s="951" t="s">
        <v>1489</v>
      </c>
      <c r="B23" s="563"/>
      <c r="C23" s="952"/>
      <c r="D23" s="952"/>
      <c r="E23" s="563"/>
      <c r="F23" s="953"/>
      <c r="G23" s="56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">
      <c r="A24" s="954" t="s">
        <v>1490</v>
      </c>
      <c r="B24" s="563"/>
      <c r="C24" s="955"/>
      <c r="D24" s="952"/>
      <c r="E24" s="563"/>
      <c r="F24" s="563"/>
      <c r="G24" s="563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5">
      <c r="A25" s="1071" t="s">
        <v>1503</v>
      </c>
      <c r="B25" s="942"/>
      <c r="C25" s="956"/>
      <c r="D25" s="956"/>
      <c r="E25" s="956"/>
      <c r="F25" s="957"/>
      <c r="G25" s="942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30">
      <c r="A26" s="1086" t="s">
        <v>416</v>
      </c>
      <c r="B26" s="1087" t="s">
        <v>417</v>
      </c>
      <c r="C26" s="1088" t="s">
        <v>1498</v>
      </c>
      <c r="D26" s="1089" t="s">
        <v>1499</v>
      </c>
      <c r="E26" s="1090"/>
      <c r="F26" s="1088" t="s">
        <v>1500</v>
      </c>
      <c r="G26" s="942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">
      <c r="A27" s="1091">
        <v>501</v>
      </c>
      <c r="B27" s="1092" t="s">
        <v>418</v>
      </c>
      <c r="C27" s="1093">
        <v>55531.891799999998</v>
      </c>
      <c r="D27" s="1094">
        <v>65690.561135987547</v>
      </c>
      <c r="E27" s="1095"/>
      <c r="F27" s="1096">
        <v>-10158.66933598755</v>
      </c>
      <c r="G27" s="942"/>
      <c r="H27" s="942"/>
      <c r="I27" s="942"/>
      <c r="J27" s="942"/>
      <c r="K27" s="942"/>
      <c r="L27" s="942"/>
      <c r="M27" s="942"/>
      <c r="N27" s="942"/>
      <c r="O27" s="942"/>
      <c r="P27" s="942"/>
      <c r="Q27" s="942"/>
      <c r="R27" s="942"/>
      <c r="S27" s="942"/>
      <c r="T27" s="191"/>
    </row>
    <row r="28" spans="1:21" ht="15">
      <c r="A28" s="1091">
        <v>547</v>
      </c>
      <c r="B28" s="1097" t="s">
        <v>419</v>
      </c>
      <c r="C28" s="1093">
        <v>279875.98565696413</v>
      </c>
      <c r="D28" s="1094">
        <v>500342.45447306603</v>
      </c>
      <c r="E28" s="1095"/>
      <c r="F28" s="1096">
        <v>-220466.4688161019</v>
      </c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</row>
    <row r="29" spans="1:21" ht="15" customHeight="1">
      <c r="A29" s="1091" t="s">
        <v>430</v>
      </c>
      <c r="B29" s="1097" t="s">
        <v>431</v>
      </c>
      <c r="C29" s="1093">
        <v>76718.036900000006</v>
      </c>
      <c r="D29" s="1094">
        <v>76315.417629999996</v>
      </c>
      <c r="E29" s="1095"/>
      <c r="F29" s="1096">
        <v>402.61927000001015</v>
      </c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</row>
    <row r="30" spans="1:21" ht="15">
      <c r="A30" s="1098" t="s">
        <v>420</v>
      </c>
      <c r="B30" s="1097" t="s">
        <v>421</v>
      </c>
      <c r="C30" s="1093">
        <v>275779.13876489893</v>
      </c>
      <c r="D30" s="1094">
        <v>218065.53486061268</v>
      </c>
      <c r="E30" s="1095"/>
      <c r="F30" s="1096">
        <v>57713.603904286254</v>
      </c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</row>
    <row r="31" spans="1:21" ht="15">
      <c r="A31" s="1098" t="s">
        <v>422</v>
      </c>
      <c r="B31" s="1097" t="s">
        <v>423</v>
      </c>
      <c r="C31" s="1093">
        <v>158029.41380953052</v>
      </c>
      <c r="D31" s="1094">
        <v>84004.754489873885</v>
      </c>
      <c r="E31" s="1095"/>
      <c r="F31" s="1096">
        <v>74024.659319656639</v>
      </c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</row>
    <row r="32" spans="1:21" ht="15">
      <c r="A32" s="1091">
        <v>555</v>
      </c>
      <c r="B32" s="1097" t="s">
        <v>424</v>
      </c>
      <c r="C32" s="1093">
        <v>421046.35790042009</v>
      </c>
      <c r="D32" s="1094">
        <v>449217.67730999494</v>
      </c>
      <c r="E32" s="1095"/>
      <c r="F32" s="1096">
        <v>-28171.319409574848</v>
      </c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</row>
    <row r="33" spans="1:19" ht="15">
      <c r="A33" s="1091">
        <v>447</v>
      </c>
      <c r="B33" s="1097" t="s">
        <v>425</v>
      </c>
      <c r="C33" s="1093">
        <v>-182172.52016053422</v>
      </c>
      <c r="D33" s="1094">
        <v>-482089.56740599999</v>
      </c>
      <c r="E33" s="1095"/>
      <c r="F33" s="1096">
        <v>299917.0472454658</v>
      </c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</row>
    <row r="34" spans="1:19" ht="15">
      <c r="A34" s="1099">
        <v>565</v>
      </c>
      <c r="B34" s="1097" t="s">
        <v>426</v>
      </c>
      <c r="C34" s="1093">
        <v>153226.72655457238</v>
      </c>
      <c r="D34" s="1094">
        <v>135051.87015063089</v>
      </c>
      <c r="E34" s="1095"/>
      <c r="F34" s="1096">
        <v>18174.856403941492</v>
      </c>
      <c r="G34" s="959"/>
      <c r="H34" s="959"/>
      <c r="I34" s="959"/>
      <c r="J34" s="959"/>
      <c r="K34" s="959"/>
      <c r="L34" s="959"/>
      <c r="M34" s="959"/>
      <c r="N34" s="959"/>
      <c r="O34" s="959"/>
      <c r="P34" s="959"/>
      <c r="Q34" s="959"/>
      <c r="R34" s="959"/>
      <c r="S34" s="959"/>
    </row>
    <row r="35" spans="1:19" ht="15">
      <c r="A35" s="1099">
        <v>456</v>
      </c>
      <c r="B35" s="1097" t="s">
        <v>427</v>
      </c>
      <c r="C35" s="1093">
        <v>-126901.3578175639</v>
      </c>
      <c r="D35" s="1094">
        <v>-130266.75517406844</v>
      </c>
      <c r="E35" s="1095"/>
      <c r="F35" s="1096">
        <v>3365.3973565045453</v>
      </c>
      <c r="G35" s="959"/>
      <c r="H35" s="959"/>
      <c r="I35" s="959"/>
      <c r="J35" s="959"/>
      <c r="K35" s="959"/>
      <c r="L35" s="959"/>
      <c r="M35" s="959"/>
      <c r="N35" s="959"/>
      <c r="O35" s="959"/>
      <c r="P35" s="959"/>
      <c r="Q35" s="959"/>
      <c r="R35" s="959"/>
      <c r="S35" s="959"/>
    </row>
    <row r="36" spans="1:19" ht="18.75">
      <c r="A36" s="1098" t="s">
        <v>1494</v>
      </c>
      <c r="B36" s="1097" t="s">
        <v>1493</v>
      </c>
      <c r="C36" s="1093">
        <v>11391.237017779689</v>
      </c>
      <c r="D36" s="1094"/>
      <c r="E36" s="1095"/>
      <c r="F36" s="1096">
        <v>11391.237017779689</v>
      </c>
      <c r="G36" s="960"/>
      <c r="H36" s="960"/>
      <c r="I36" s="960"/>
      <c r="J36" s="960"/>
      <c r="K36" s="960"/>
      <c r="L36" s="960"/>
      <c r="M36" s="960"/>
      <c r="N36" s="960"/>
      <c r="O36" s="960"/>
      <c r="P36" s="960"/>
      <c r="Q36" s="960"/>
      <c r="R36" s="960"/>
      <c r="S36" s="960"/>
    </row>
    <row r="37" spans="1:19" ht="15.75" thickBot="1">
      <c r="A37" s="1091">
        <v>557</v>
      </c>
      <c r="B37" s="1097" t="s">
        <v>428</v>
      </c>
      <c r="C37" s="1093">
        <v>17153.94262085393</v>
      </c>
      <c r="D37" s="1094">
        <v>16711.586023277483</v>
      </c>
      <c r="E37" s="1095"/>
      <c r="F37" s="1096">
        <v>442.3565975764468</v>
      </c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</row>
    <row r="38" spans="1:19" ht="15.75" thickTop="1">
      <c r="A38" s="1100"/>
      <c r="B38" s="1101" t="s">
        <v>429</v>
      </c>
      <c r="C38" s="1102">
        <v>1139678.8530469213</v>
      </c>
      <c r="D38" s="1103">
        <v>933043.53349337506</v>
      </c>
      <c r="E38" s="1104"/>
      <c r="F38" s="1105">
        <v>206635.31955354626</v>
      </c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</row>
    <row r="39" spans="1:19" ht="15">
      <c r="A39" s="1091"/>
      <c r="B39" s="1106"/>
      <c r="C39" s="1107"/>
      <c r="D39" s="1108"/>
      <c r="E39" s="1097"/>
      <c r="F39" s="1107"/>
      <c r="G39" s="567"/>
      <c r="H39" s="567"/>
      <c r="I39" s="567"/>
      <c r="J39" s="567"/>
      <c r="K39" s="567"/>
      <c r="L39" s="567"/>
      <c r="M39" s="567"/>
      <c r="N39" s="567"/>
      <c r="O39" s="567"/>
      <c r="P39" s="567"/>
      <c r="Q39" s="567"/>
      <c r="R39" s="567"/>
      <c r="S39" s="567"/>
    </row>
    <row r="40" spans="1:19" ht="15">
      <c r="A40" s="1109"/>
      <c r="B40" s="1110" t="s">
        <v>1492</v>
      </c>
      <c r="C40" s="1111">
        <v>22302742.952586181</v>
      </c>
      <c r="D40" s="1112">
        <v>21489772.881923761</v>
      </c>
      <c r="E40" s="1113"/>
      <c r="F40" s="1114">
        <v>812970.07066242024</v>
      </c>
      <c r="G40" s="567"/>
      <c r="H40" s="567"/>
      <c r="I40" s="567"/>
      <c r="J40" s="567"/>
      <c r="K40" s="567"/>
      <c r="L40" s="567"/>
      <c r="M40" s="567"/>
      <c r="N40" s="567"/>
      <c r="O40" s="567"/>
      <c r="P40" s="567"/>
      <c r="Q40" s="567"/>
      <c r="R40" s="567"/>
      <c r="S40" s="567"/>
    </row>
    <row r="41" spans="1:19" ht="15">
      <c r="A41" s="1115"/>
      <c r="B41" s="1116" t="s">
        <v>1491</v>
      </c>
      <c r="C41" s="1117">
        <v>51.100389556109121</v>
      </c>
      <c r="D41" s="1118">
        <v>43.418026733926524</v>
      </c>
      <c r="E41" s="1113"/>
      <c r="F41" s="1119">
        <v>7.682362822182597</v>
      </c>
      <c r="G41" s="567"/>
      <c r="H41" s="567"/>
      <c r="I41" s="567"/>
      <c r="J41" s="567"/>
      <c r="K41" s="567"/>
      <c r="L41" s="567"/>
      <c r="M41" s="567"/>
      <c r="N41" s="567"/>
      <c r="O41" s="567"/>
      <c r="P41" s="567"/>
      <c r="Q41" s="567"/>
      <c r="R41" s="567"/>
      <c r="S41" s="567"/>
    </row>
    <row r="42" spans="1:19">
      <c r="A42" s="1071" t="s">
        <v>1455</v>
      </c>
      <c r="B42" s="567"/>
      <c r="C42" s="567"/>
      <c r="D42" s="961"/>
      <c r="E42" s="567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  <c r="Q42" s="567"/>
      <c r="R42" s="567"/>
      <c r="S42" s="567"/>
    </row>
    <row r="43" spans="1:19" ht="30">
      <c r="A43" s="1086" t="s">
        <v>416</v>
      </c>
      <c r="B43" s="1087" t="s">
        <v>417</v>
      </c>
      <c r="C43" s="1088" t="s">
        <v>1498</v>
      </c>
      <c r="D43" s="1089" t="s">
        <v>1499</v>
      </c>
      <c r="E43" s="1090"/>
      <c r="F43" s="1088" t="s">
        <v>1500</v>
      </c>
      <c r="G43" s="567"/>
      <c r="H43" s="567"/>
      <c r="I43" s="567"/>
      <c r="J43" s="567"/>
      <c r="K43" s="567"/>
      <c r="L43" s="567"/>
      <c r="M43" s="567"/>
      <c r="N43" s="567"/>
      <c r="O43" s="567"/>
      <c r="P43" s="567"/>
      <c r="Q43" s="567"/>
      <c r="R43" s="567"/>
      <c r="S43" s="567"/>
    </row>
    <row r="44" spans="1:19" ht="15">
      <c r="A44" s="1091">
        <v>501</v>
      </c>
      <c r="B44" s="1092" t="s">
        <v>418</v>
      </c>
      <c r="C44" s="1093">
        <f>+C7-C27</f>
        <v>0</v>
      </c>
      <c r="D44" s="1094">
        <f>+D7-D27</f>
        <v>0</v>
      </c>
      <c r="E44" s="1095"/>
      <c r="F44" s="1096">
        <f>+F7-F27</f>
        <v>0</v>
      </c>
      <c r="G44" s="567"/>
      <c r="H44" s="567"/>
      <c r="I44" s="567"/>
      <c r="J44" s="567"/>
      <c r="K44" s="567"/>
      <c r="L44" s="567"/>
      <c r="M44" s="567"/>
      <c r="N44" s="567"/>
      <c r="O44" s="567"/>
      <c r="P44" s="567"/>
      <c r="Q44" s="567"/>
      <c r="R44" s="567"/>
      <c r="S44" s="567"/>
    </row>
    <row r="45" spans="1:19" ht="15">
      <c r="A45" s="1091">
        <v>547</v>
      </c>
      <c r="B45" s="1097" t="s">
        <v>419</v>
      </c>
      <c r="C45" s="1093">
        <f t="shared" ref="C45:D58" si="3">+C8-C28</f>
        <v>44174.161040494218</v>
      </c>
      <c r="D45" s="1094">
        <f t="shared" si="3"/>
        <v>0</v>
      </c>
      <c r="E45" s="1095"/>
      <c r="F45" s="1096">
        <f t="shared" ref="F45" si="4">+F8-F28</f>
        <v>44174.161040494218</v>
      </c>
      <c r="G45" s="567"/>
      <c r="H45" s="567"/>
      <c r="I45" s="567"/>
      <c r="J45" s="567"/>
      <c r="K45" s="567"/>
      <c r="L45" s="567"/>
      <c r="M45" s="567"/>
      <c r="N45" s="567"/>
      <c r="O45" s="567"/>
      <c r="P45" s="567"/>
      <c r="Q45" s="567"/>
      <c r="R45" s="567"/>
      <c r="S45" s="567"/>
    </row>
    <row r="46" spans="1:19" ht="15">
      <c r="A46" s="1091" t="s">
        <v>430</v>
      </c>
      <c r="B46" s="1097" t="s">
        <v>431</v>
      </c>
      <c r="C46" s="1093">
        <f t="shared" si="3"/>
        <v>0</v>
      </c>
      <c r="D46" s="1094">
        <f t="shared" si="3"/>
        <v>0</v>
      </c>
      <c r="E46" s="1095"/>
      <c r="F46" s="1096">
        <f t="shared" ref="F46" si="5">+F9-F29</f>
        <v>0</v>
      </c>
      <c r="G46" s="959"/>
      <c r="H46" s="962"/>
      <c r="I46" s="962"/>
      <c r="J46" s="962"/>
      <c r="K46" s="962"/>
      <c r="L46" s="962"/>
      <c r="M46" s="962"/>
      <c r="N46" s="962"/>
      <c r="O46" s="962"/>
      <c r="P46" s="962"/>
      <c r="Q46" s="962"/>
      <c r="R46" s="962"/>
      <c r="S46" s="962"/>
    </row>
    <row r="47" spans="1:19" ht="15">
      <c r="A47" s="1098" t="s">
        <v>420</v>
      </c>
      <c r="B47" s="1097" t="s">
        <v>421</v>
      </c>
      <c r="C47" s="1093">
        <f t="shared" si="3"/>
        <v>0</v>
      </c>
      <c r="D47" s="1094">
        <f t="shared" si="3"/>
        <v>0</v>
      </c>
      <c r="E47" s="1095"/>
      <c r="F47" s="1096">
        <f t="shared" ref="F47" si="6">+F10-F30</f>
        <v>0</v>
      </c>
      <c r="G47" s="567"/>
      <c r="H47" s="963"/>
      <c r="I47" s="963"/>
      <c r="J47" s="963"/>
      <c r="K47" s="963"/>
      <c r="L47" s="963"/>
      <c r="M47" s="963"/>
      <c r="N47" s="963"/>
      <c r="O47" s="963"/>
      <c r="P47" s="963"/>
      <c r="Q47" s="963"/>
      <c r="R47" s="963"/>
      <c r="S47" s="963"/>
    </row>
    <row r="48" spans="1:19" ht="15">
      <c r="A48" s="1098" t="s">
        <v>422</v>
      </c>
      <c r="B48" s="1097" t="s">
        <v>423</v>
      </c>
      <c r="C48" s="1093">
        <f t="shared" si="3"/>
        <v>-879.80106200001319</v>
      </c>
      <c r="D48" s="1094">
        <f t="shared" si="3"/>
        <v>0</v>
      </c>
      <c r="E48" s="1095"/>
      <c r="F48" s="1096">
        <f t="shared" ref="F48" si="7">+F11-F31</f>
        <v>-879.80106200001319</v>
      </c>
      <c r="G48" s="567"/>
      <c r="H48" s="963"/>
      <c r="I48" s="963"/>
      <c r="J48" s="963"/>
      <c r="K48" s="963"/>
      <c r="L48" s="963"/>
      <c r="M48" s="963"/>
      <c r="N48" s="963"/>
      <c r="O48" s="963"/>
      <c r="P48" s="963"/>
      <c r="Q48" s="963"/>
      <c r="R48" s="963"/>
      <c r="S48" s="963"/>
    </row>
    <row r="49" spans="1:19" ht="18.75">
      <c r="A49" s="1091">
        <v>555</v>
      </c>
      <c r="B49" s="1097" t="s">
        <v>424</v>
      </c>
      <c r="C49" s="1093">
        <f t="shared" si="3"/>
        <v>0</v>
      </c>
      <c r="D49" s="1094">
        <f t="shared" si="3"/>
        <v>0</v>
      </c>
      <c r="E49" s="1095"/>
      <c r="F49" s="1096">
        <f t="shared" ref="F49" si="8">+F12-F32</f>
        <v>0</v>
      </c>
      <c r="G49" s="960"/>
      <c r="H49" s="228"/>
      <c r="I49" s="228"/>
      <c r="J49" s="964"/>
      <c r="K49" s="964"/>
      <c r="L49" s="964"/>
      <c r="M49" s="964"/>
      <c r="N49" s="964"/>
      <c r="O49" s="964"/>
      <c r="P49" s="964"/>
      <c r="Q49" s="964"/>
      <c r="R49" s="964"/>
      <c r="S49" s="964"/>
    </row>
    <row r="50" spans="1:19" ht="15">
      <c r="A50" s="1091">
        <v>447</v>
      </c>
      <c r="B50" s="1097" t="s">
        <v>425</v>
      </c>
      <c r="C50" s="1093">
        <f t="shared" si="3"/>
        <v>-66857.244339465746</v>
      </c>
      <c r="D50" s="1094">
        <f t="shared" si="3"/>
        <v>0</v>
      </c>
      <c r="E50" s="1095"/>
      <c r="F50" s="1096">
        <f t="shared" ref="F50" si="9">+F13-F33</f>
        <v>-66857.244339465775</v>
      </c>
      <c r="G50" s="564"/>
      <c r="H50" s="958"/>
      <c r="I50" s="958"/>
      <c r="J50" s="958"/>
      <c r="K50" s="958"/>
      <c r="L50" s="958"/>
      <c r="M50" s="958"/>
      <c r="N50" s="958"/>
      <c r="O50" s="958"/>
      <c r="P50" s="958"/>
      <c r="Q50" s="958"/>
      <c r="R50" s="958"/>
      <c r="S50" s="958"/>
    </row>
    <row r="51" spans="1:19" ht="15">
      <c r="A51" s="1099">
        <v>565</v>
      </c>
      <c r="B51" s="1097" t="s">
        <v>426</v>
      </c>
      <c r="C51" s="1093">
        <f t="shared" si="3"/>
        <v>0</v>
      </c>
      <c r="D51" s="1094">
        <f t="shared" si="3"/>
        <v>0</v>
      </c>
      <c r="E51" s="1095"/>
      <c r="F51" s="1096">
        <f t="shared" ref="F51" si="10">+F14-F34</f>
        <v>0</v>
      </c>
      <c r="G51" s="567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</row>
    <row r="52" spans="1:19" ht="15">
      <c r="A52" s="1099">
        <v>456</v>
      </c>
      <c r="B52" s="1097" t="s">
        <v>427</v>
      </c>
      <c r="C52" s="1093">
        <f t="shared" si="3"/>
        <v>0</v>
      </c>
      <c r="D52" s="1094">
        <f t="shared" si="3"/>
        <v>0</v>
      </c>
      <c r="E52" s="1095"/>
      <c r="F52" s="1096">
        <f t="shared" ref="F52" si="11">+F15-F35</f>
        <v>0</v>
      </c>
      <c r="G52" s="567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</row>
    <row r="53" spans="1:19" ht="15">
      <c r="A53" s="1098" t="s">
        <v>1494</v>
      </c>
      <c r="B53" s="1097" t="s">
        <v>1493</v>
      </c>
      <c r="C53" s="1093">
        <f t="shared" si="3"/>
        <v>0</v>
      </c>
      <c r="D53" s="1094">
        <f t="shared" si="3"/>
        <v>0</v>
      </c>
      <c r="E53" s="1095"/>
      <c r="F53" s="1096">
        <f t="shared" ref="F53" si="12">+F16-F36</f>
        <v>0</v>
      </c>
      <c r="G53" s="567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</row>
    <row r="54" spans="1:19" ht="15.75" thickBot="1">
      <c r="A54" s="1091">
        <v>557</v>
      </c>
      <c r="B54" s="1097" t="s">
        <v>428</v>
      </c>
      <c r="C54" s="1093">
        <f t="shared" si="3"/>
        <v>0</v>
      </c>
      <c r="D54" s="1094">
        <f t="shared" si="3"/>
        <v>0</v>
      </c>
      <c r="E54" s="1095"/>
      <c r="F54" s="1096">
        <f t="shared" ref="F54" si="13">+F17-F37</f>
        <v>0</v>
      </c>
      <c r="G54" s="567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</row>
    <row r="55" spans="1:19" ht="15.75" thickTop="1">
      <c r="A55" s="1100"/>
      <c r="B55" s="1101" t="s">
        <v>429</v>
      </c>
      <c r="C55" s="1102">
        <f t="shared" si="3"/>
        <v>-23562.884360971628</v>
      </c>
      <c r="D55" s="1103">
        <f t="shared" si="3"/>
        <v>0</v>
      </c>
      <c r="E55" s="1104"/>
      <c r="F55" s="1105">
        <f t="shared" ref="F55" si="14">+F18-F38</f>
        <v>-23562.884360971628</v>
      </c>
      <c r="G55" s="567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</row>
    <row r="56" spans="1:19" ht="15">
      <c r="A56" s="1091"/>
      <c r="B56" s="1106"/>
      <c r="C56" s="1107">
        <f t="shared" si="3"/>
        <v>0</v>
      </c>
      <c r="D56" s="1108">
        <f t="shared" si="3"/>
        <v>0</v>
      </c>
      <c r="E56" s="1097"/>
      <c r="F56" s="1107">
        <f t="shared" ref="F56" si="15">+F19-F39</f>
        <v>0</v>
      </c>
      <c r="G56" s="567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</row>
    <row r="57" spans="1:19" ht="15">
      <c r="A57" s="1109"/>
      <c r="B57" s="1110" t="s">
        <v>1492</v>
      </c>
      <c r="C57" s="1111">
        <f t="shared" si="3"/>
        <v>0</v>
      </c>
      <c r="D57" s="1112">
        <f t="shared" si="3"/>
        <v>0</v>
      </c>
      <c r="E57" s="1113"/>
      <c r="F57" s="1114">
        <f t="shared" ref="F57" si="16">+F20-F40</f>
        <v>0</v>
      </c>
      <c r="G57" s="567"/>
      <c r="H57" s="965"/>
      <c r="I57" s="965"/>
      <c r="J57" s="965"/>
      <c r="K57" s="965"/>
      <c r="L57" s="965"/>
      <c r="M57" s="965"/>
      <c r="N57" s="965"/>
      <c r="O57" s="965"/>
      <c r="P57" s="965"/>
      <c r="Q57" s="965"/>
      <c r="R57" s="965"/>
      <c r="S57" s="965"/>
    </row>
    <row r="58" spans="1:19" ht="15">
      <c r="A58" s="1115"/>
      <c r="B58" s="1116" t="s">
        <v>1491</v>
      </c>
      <c r="C58" s="1117">
        <f t="shared" si="3"/>
        <v>-1.0565016335015045</v>
      </c>
      <c r="D58" s="1118">
        <f t="shared" si="3"/>
        <v>0</v>
      </c>
      <c r="E58" s="1113"/>
      <c r="F58" s="1119">
        <f t="shared" ref="F58" si="17">+F21-F41</f>
        <v>-1.0565016335015045</v>
      </c>
      <c r="G58" s="567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</row>
    <row r="59" spans="1:19">
      <c r="A59" s="959"/>
      <c r="B59" s="959"/>
      <c r="C59" s="284"/>
      <c r="D59" s="961"/>
      <c r="E59" s="959"/>
      <c r="F59" s="959"/>
      <c r="G59" s="959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62"/>
    </row>
    <row r="60" spans="1:19">
      <c r="A60" s="562"/>
      <c r="B60" s="567"/>
      <c r="C60" s="284"/>
      <c r="D60" s="961"/>
      <c r="E60" s="567"/>
      <c r="F60" s="567"/>
      <c r="G60" s="567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</row>
    <row r="61" spans="1:19">
      <c r="A61" s="959"/>
      <c r="B61" s="959"/>
      <c r="C61" s="962"/>
      <c r="D61" s="961"/>
      <c r="E61" s="959"/>
      <c r="F61" s="959"/>
      <c r="G61" s="959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</row>
    <row r="62" spans="1:19">
      <c r="A62" s="959"/>
      <c r="B62" s="959"/>
      <c r="C62" s="963"/>
      <c r="D62" s="961"/>
      <c r="E62" s="959"/>
      <c r="F62" s="959"/>
      <c r="G62" s="959"/>
      <c r="H62" s="961"/>
      <c r="I62" s="961"/>
      <c r="J62" s="961"/>
      <c r="K62" s="961"/>
      <c r="L62" s="961"/>
      <c r="M62" s="961"/>
      <c r="N62" s="961"/>
      <c r="O62" s="961"/>
      <c r="P62" s="961"/>
      <c r="Q62" s="961"/>
      <c r="R62" s="961"/>
      <c r="S62" s="961"/>
    </row>
    <row r="63" spans="1:19" ht="18.75">
      <c r="A63" s="562"/>
      <c r="B63" s="960"/>
      <c r="C63" s="961"/>
      <c r="D63" s="961"/>
      <c r="E63" s="960"/>
      <c r="F63" s="960"/>
      <c r="G63" s="960"/>
      <c r="H63" s="966"/>
      <c r="I63" s="966"/>
      <c r="J63" s="964"/>
      <c r="K63" s="964"/>
      <c r="L63" s="964"/>
      <c r="M63" s="964"/>
      <c r="N63" s="964"/>
      <c r="O63" s="964"/>
      <c r="P63" s="964"/>
      <c r="Q63" s="964"/>
      <c r="R63" s="964"/>
      <c r="S63" s="964"/>
    </row>
    <row r="64" spans="1:19">
      <c r="A64" s="564"/>
      <c r="B64" s="564"/>
      <c r="C64" s="961"/>
      <c r="D64" s="961"/>
      <c r="E64" s="564"/>
      <c r="F64" s="564"/>
      <c r="G64" s="564"/>
      <c r="H64" s="958"/>
      <c r="I64" s="958"/>
      <c r="J64" s="958"/>
      <c r="K64" s="958"/>
      <c r="L64" s="958"/>
      <c r="M64" s="958"/>
      <c r="N64" s="958"/>
      <c r="O64" s="958"/>
      <c r="P64" s="958"/>
      <c r="Q64" s="958"/>
      <c r="R64" s="958"/>
      <c r="S64" s="958"/>
    </row>
    <row r="65" spans="1:19">
      <c r="A65" s="829"/>
      <c r="B65" s="567"/>
      <c r="C65" s="967"/>
      <c r="D65" s="961"/>
      <c r="E65" s="567"/>
      <c r="F65" s="567"/>
      <c r="G65" s="567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</row>
    <row r="66" spans="1:19">
      <c r="A66" s="829"/>
      <c r="B66" s="567"/>
      <c r="C66" s="958"/>
      <c r="D66" s="961"/>
      <c r="E66" s="567"/>
      <c r="F66" s="567"/>
      <c r="G66" s="567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</row>
    <row r="67" spans="1:19">
      <c r="A67" s="829"/>
      <c r="B67" s="567"/>
      <c r="C67" s="284"/>
      <c r="D67" s="961"/>
      <c r="E67" s="567"/>
      <c r="F67" s="567"/>
      <c r="G67" s="567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</row>
    <row r="68" spans="1:19">
      <c r="A68" s="829"/>
      <c r="B68" s="567"/>
      <c r="C68" s="284"/>
      <c r="D68" s="961"/>
      <c r="E68" s="567"/>
      <c r="F68" s="567"/>
      <c r="G68" s="567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</row>
    <row r="69" spans="1:19">
      <c r="A69" s="829"/>
      <c r="B69" s="567"/>
      <c r="C69" s="284"/>
      <c r="D69" s="961"/>
      <c r="E69" s="567"/>
      <c r="F69" s="567"/>
      <c r="G69" s="567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</row>
    <row r="70" spans="1:19">
      <c r="A70" s="829"/>
      <c r="B70" s="567"/>
      <c r="C70" s="284"/>
      <c r="D70" s="961"/>
      <c r="E70" s="567"/>
      <c r="F70" s="567"/>
      <c r="G70" s="567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</row>
    <row r="71" spans="1:19">
      <c r="A71" s="829"/>
      <c r="B71" s="567"/>
      <c r="C71" s="284"/>
      <c r="D71" s="961"/>
      <c r="E71" s="567"/>
      <c r="F71" s="567"/>
      <c r="G71" s="567"/>
      <c r="H71" s="965"/>
      <c r="I71" s="965"/>
      <c r="J71" s="965"/>
      <c r="K71" s="965"/>
      <c r="L71" s="965"/>
      <c r="M71" s="965"/>
      <c r="N71" s="965"/>
      <c r="O71" s="965"/>
      <c r="P71" s="965"/>
      <c r="Q71" s="965"/>
      <c r="R71" s="965"/>
      <c r="S71" s="965"/>
    </row>
    <row r="72" spans="1:19">
      <c r="A72" s="562"/>
      <c r="B72" s="567"/>
      <c r="C72" s="284"/>
      <c r="D72" s="961"/>
      <c r="E72" s="567"/>
      <c r="F72" s="567"/>
      <c r="G72" s="567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</row>
    <row r="73" spans="1:19">
      <c r="A73" s="959"/>
      <c r="B73" s="959"/>
      <c r="C73" s="284"/>
      <c r="D73" s="961"/>
      <c r="E73" s="959"/>
      <c r="F73" s="959"/>
      <c r="G73" s="959"/>
      <c r="H73" s="962"/>
      <c r="I73" s="962"/>
      <c r="J73" s="962"/>
      <c r="K73" s="962"/>
      <c r="L73" s="962"/>
      <c r="M73" s="962"/>
      <c r="N73" s="962"/>
      <c r="O73" s="962"/>
      <c r="P73" s="962"/>
      <c r="Q73" s="962"/>
      <c r="R73" s="962"/>
      <c r="S73" s="962"/>
    </row>
    <row r="74" spans="1:19">
      <c r="A74" s="562"/>
      <c r="B74" s="567"/>
      <c r="C74" s="284"/>
      <c r="D74" s="961"/>
      <c r="E74" s="567"/>
      <c r="F74" s="567"/>
      <c r="G74" s="567"/>
      <c r="H74" s="963"/>
      <c r="I74" s="963"/>
      <c r="J74" s="963"/>
      <c r="K74" s="963"/>
      <c r="L74" s="963"/>
      <c r="M74" s="963"/>
      <c r="N74" s="963"/>
      <c r="O74" s="963"/>
      <c r="P74" s="963"/>
      <c r="Q74" s="963"/>
      <c r="R74" s="963"/>
      <c r="S74" s="963"/>
    </row>
    <row r="75" spans="1:19">
      <c r="A75" s="562"/>
      <c r="B75" s="567"/>
      <c r="C75" s="962"/>
      <c r="D75" s="961"/>
      <c r="E75" s="567"/>
      <c r="F75" s="567"/>
      <c r="G75" s="567"/>
      <c r="H75" s="963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</row>
    <row r="76" spans="1:19">
      <c r="A76" s="959"/>
      <c r="B76" s="959"/>
      <c r="C76" s="963"/>
      <c r="D76" s="961"/>
      <c r="E76" s="959"/>
      <c r="F76" s="959"/>
      <c r="G76" s="959"/>
      <c r="H76" s="966"/>
      <c r="I76" s="966"/>
      <c r="J76" s="966"/>
      <c r="K76" s="966"/>
      <c r="L76" s="966"/>
      <c r="M76" s="966"/>
      <c r="N76" s="966"/>
      <c r="O76" s="966"/>
      <c r="P76" s="966"/>
      <c r="Q76" s="966"/>
      <c r="R76" s="966"/>
      <c r="S76" s="966"/>
    </row>
    <row r="77" spans="1:19">
      <c r="A77" s="563"/>
      <c r="B77" s="563"/>
      <c r="C77" s="963"/>
      <c r="D77" s="961"/>
      <c r="E77" s="563"/>
      <c r="F77" s="563"/>
      <c r="G77" s="563"/>
      <c r="H77" s="961"/>
      <c r="I77" s="961"/>
      <c r="J77" s="961"/>
      <c r="K77" s="961"/>
      <c r="L77" s="961"/>
      <c r="M77" s="961"/>
      <c r="N77" s="961"/>
      <c r="O77" s="961"/>
      <c r="P77" s="961"/>
      <c r="Q77" s="961"/>
      <c r="R77" s="961"/>
      <c r="S77" s="961"/>
    </row>
    <row r="78" spans="1:19">
      <c r="A78" s="563"/>
      <c r="B78" s="563"/>
      <c r="C78" s="968"/>
      <c r="D78" s="961"/>
      <c r="E78" s="563"/>
      <c r="F78" s="563"/>
      <c r="G78" s="563"/>
      <c r="H78" s="961"/>
      <c r="I78" s="961"/>
      <c r="J78" s="961"/>
      <c r="K78" s="961"/>
      <c r="L78" s="961"/>
      <c r="M78" s="961"/>
      <c r="N78" s="961"/>
      <c r="O78" s="961"/>
      <c r="P78" s="961"/>
      <c r="Q78" s="961"/>
      <c r="R78" s="961"/>
      <c r="S78" s="961"/>
    </row>
    <row r="79" spans="1:19">
      <c r="A79" s="563"/>
      <c r="B79" s="563"/>
      <c r="C79" s="961"/>
      <c r="D79" s="961"/>
      <c r="E79" s="563"/>
      <c r="F79" s="563"/>
      <c r="G79" s="563"/>
      <c r="H79" s="961"/>
      <c r="I79" s="961"/>
      <c r="J79" s="961"/>
      <c r="K79" s="961"/>
      <c r="L79" s="961"/>
      <c r="M79" s="961"/>
      <c r="N79" s="961"/>
      <c r="O79" s="961"/>
      <c r="P79" s="961"/>
      <c r="Q79" s="961"/>
      <c r="R79" s="961"/>
      <c r="S79" s="961"/>
    </row>
    <row r="80" spans="1:19">
      <c r="C80" s="961"/>
      <c r="D80" s="961"/>
    </row>
    <row r="81" spans="3:4">
      <c r="C81" s="961"/>
      <c r="D81" s="96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"/>
  <sheetViews>
    <sheetView workbookViewId="0">
      <selection activeCell="F49" sqref="F49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85" zoomScaleNormal="85" workbookViewId="0">
      <selection activeCell="G40" sqref="G40"/>
    </sheetView>
  </sheetViews>
  <sheetFormatPr defaultRowHeight="12.75"/>
  <cols>
    <col min="1" max="1" width="9.140625" style="969"/>
    <col min="2" max="2" width="27.140625" style="969" bestFit="1" customWidth="1"/>
    <col min="3" max="3" width="18.140625" style="969" bestFit="1" customWidth="1"/>
    <col min="4" max="4" width="12.28515625" style="969" bestFit="1" customWidth="1"/>
    <col min="5" max="6" width="11.5703125" style="969" bestFit="1" customWidth="1"/>
    <col min="7" max="7" width="12.5703125" style="969" bestFit="1" customWidth="1"/>
    <col min="8" max="8" width="26.28515625" style="969" customWidth="1"/>
    <col min="9" max="9" width="18.140625" style="969" bestFit="1" customWidth="1"/>
    <col min="10" max="10" width="17" style="969" bestFit="1" customWidth="1"/>
    <col min="11" max="11" width="18.140625" style="969" bestFit="1" customWidth="1"/>
    <col min="12" max="16384" width="9.140625" style="969"/>
  </cols>
  <sheetData>
    <row r="1" spans="1:13" ht="18.75">
      <c r="A1" s="1050" t="s">
        <v>368</v>
      </c>
      <c r="B1" s="1045"/>
      <c r="C1" s="1046"/>
      <c r="D1" s="1046"/>
      <c r="E1" s="1046"/>
      <c r="F1" s="1046"/>
    </row>
    <row r="2" spans="1:13" ht="21">
      <c r="A2" s="1049" t="s">
        <v>415</v>
      </c>
      <c r="B2" s="1045"/>
      <c r="C2" s="897" t="s">
        <v>1482</v>
      </c>
      <c r="D2" s="898"/>
      <c r="E2" s="898"/>
      <c r="F2" s="898"/>
      <c r="G2" s="899"/>
      <c r="H2" s="899"/>
    </row>
    <row r="3" spans="1:13" ht="21">
      <c r="A3" s="1048" t="s">
        <v>650</v>
      </c>
      <c r="B3" s="1045"/>
      <c r="C3" s="897" t="s">
        <v>1481</v>
      </c>
      <c r="D3" s="898"/>
      <c r="E3" s="898"/>
      <c r="F3" s="898"/>
      <c r="G3" s="899"/>
      <c r="H3" s="899"/>
    </row>
    <row r="4" spans="1:13" ht="18.75">
      <c r="A4" s="1009"/>
      <c r="B4" s="1047"/>
      <c r="C4" s="1046"/>
      <c r="D4" s="1046"/>
      <c r="E4" s="1046"/>
      <c r="F4" s="1046"/>
    </row>
    <row r="5" spans="1:13" ht="15">
      <c r="A5" s="1009"/>
      <c r="B5" s="1045"/>
      <c r="C5" s="1044"/>
      <c r="D5" s="1044"/>
      <c r="E5" s="1044"/>
      <c r="F5" s="1044"/>
    </row>
    <row r="6" spans="1:13" ht="31.5">
      <c r="A6" s="1043" t="s">
        <v>416</v>
      </c>
      <c r="B6" s="1042" t="s">
        <v>417</v>
      </c>
      <c r="C6" s="1041" t="s">
        <v>651</v>
      </c>
      <c r="D6" s="1040" t="s">
        <v>652</v>
      </c>
      <c r="E6" s="1040" t="s">
        <v>653</v>
      </c>
      <c r="F6" s="1039" t="s">
        <v>654</v>
      </c>
    </row>
    <row r="7" spans="1:13" ht="15.75">
      <c r="A7" s="1019">
        <v>501</v>
      </c>
      <c r="B7" s="1038" t="s">
        <v>418</v>
      </c>
      <c r="C7" s="1027">
        <v>65690.561135987547</v>
      </c>
      <c r="D7" s="1026">
        <f>+C7</f>
        <v>65690.561135987547</v>
      </c>
      <c r="E7" s="1026">
        <v>44102.798880000002</v>
      </c>
      <c r="F7" s="1025">
        <v>41753.818174172084</v>
      </c>
      <c r="H7" s="1037" t="s">
        <v>1468</v>
      </c>
      <c r="I7" s="1036" t="s">
        <v>1473</v>
      </c>
    </row>
    <row r="8" spans="1:13" ht="15.75">
      <c r="A8" s="1019">
        <v>547</v>
      </c>
      <c r="B8" s="1018" t="s">
        <v>419</v>
      </c>
      <c r="C8" s="1027">
        <v>500342.45447306603</v>
      </c>
      <c r="D8" s="1026">
        <f>+C8</f>
        <v>500342.45447306603</v>
      </c>
      <c r="E8" s="1026">
        <v>207712.02388428908</v>
      </c>
      <c r="F8" s="1025">
        <v>155199.11016863459</v>
      </c>
      <c r="I8" s="1024"/>
    </row>
    <row r="9" spans="1:13" ht="15.75">
      <c r="A9" s="1019" t="s">
        <v>430</v>
      </c>
      <c r="B9" s="1018" t="s">
        <v>431</v>
      </c>
      <c r="C9" s="1027">
        <v>76315.417629999996</v>
      </c>
      <c r="D9" s="1026">
        <f>+C9</f>
        <v>76315.417629999996</v>
      </c>
      <c r="E9" s="1026">
        <v>78092.500537999993</v>
      </c>
      <c r="F9" s="1025">
        <v>14178.879207000002</v>
      </c>
      <c r="H9" s="969" t="s">
        <v>1464</v>
      </c>
      <c r="I9" s="1035">
        <v>2023</v>
      </c>
      <c r="J9" s="1035">
        <v>2024</v>
      </c>
      <c r="K9" s="1035" t="s">
        <v>1471</v>
      </c>
    </row>
    <row r="10" spans="1:13" ht="15.75">
      <c r="A10" s="1034" t="s">
        <v>420</v>
      </c>
      <c r="B10" s="1018" t="s">
        <v>421</v>
      </c>
      <c r="C10" s="1027">
        <v>218065.53486061268</v>
      </c>
      <c r="D10" s="1026">
        <f>+C10</f>
        <v>218065.53486061268</v>
      </c>
      <c r="E10" s="1026">
        <v>171779.78303756096</v>
      </c>
      <c r="F10" s="1025">
        <v>154629.58259088211</v>
      </c>
      <c r="H10" s="1024" t="s">
        <v>1470</v>
      </c>
      <c r="I10" s="827">
        <v>920947751.5660975</v>
      </c>
      <c r="J10" s="827">
        <v>920971482.2884016</v>
      </c>
      <c r="K10" s="827">
        <v>929865738.43520164</v>
      </c>
    </row>
    <row r="11" spans="1:13" ht="15.75">
      <c r="A11" s="1034" t="s">
        <v>422</v>
      </c>
      <c r="B11" s="1018" t="s">
        <v>423</v>
      </c>
      <c r="C11" s="1027">
        <v>84004.754489873885</v>
      </c>
      <c r="D11" s="1026">
        <f>+C11</f>
        <v>84004.754489873885</v>
      </c>
      <c r="E11" s="1026">
        <v>130528.6680712118</v>
      </c>
      <c r="F11" s="1025">
        <v>75775.032755105276</v>
      </c>
      <c r="H11" s="1024" t="s">
        <v>66</v>
      </c>
      <c r="I11" s="827">
        <v>19799680.8675</v>
      </c>
      <c r="J11" s="827">
        <v>19991410.8475</v>
      </c>
      <c r="K11" s="827">
        <v>19991410.8475</v>
      </c>
      <c r="M11" s="1033" t="s">
        <v>1474</v>
      </c>
    </row>
    <row r="12" spans="1:13" ht="15.75">
      <c r="A12" s="1019">
        <v>555</v>
      </c>
      <c r="B12" s="1018" t="s">
        <v>424</v>
      </c>
      <c r="C12" s="1027">
        <v>449217.67730999494</v>
      </c>
      <c r="D12" s="1032">
        <f>+C12+J15</f>
        <v>458111.93345679477</v>
      </c>
      <c r="E12" s="1026">
        <v>198498.91878939504</v>
      </c>
      <c r="F12" s="1025">
        <v>283341.49241290003</v>
      </c>
      <c r="H12" s="1024" t="s">
        <v>1465</v>
      </c>
      <c r="I12" s="1031">
        <f>+I10/I11</f>
        <v>46.513262396960073</v>
      </c>
      <c r="J12" s="1030">
        <f>+J10/J11</f>
        <v>46.068358522258698</v>
      </c>
      <c r="K12" s="1031">
        <f>+K10/K11</f>
        <v>46.51326239696008</v>
      </c>
      <c r="M12" s="1031">
        <f>I12-K12</f>
        <v>0</v>
      </c>
    </row>
    <row r="13" spans="1:13" ht="15.75">
      <c r="A13" s="1019">
        <v>447</v>
      </c>
      <c r="B13" s="1018" t="s">
        <v>425</v>
      </c>
      <c r="C13" s="1027">
        <v>-482089.56740599999</v>
      </c>
      <c r="D13" s="1026">
        <f>+C13</f>
        <v>-482089.56740599999</v>
      </c>
      <c r="E13" s="1026">
        <v>-115324.263748</v>
      </c>
      <c r="F13" s="1025">
        <v>-46206.031410176467</v>
      </c>
      <c r="H13" s="1024" t="s">
        <v>1466</v>
      </c>
      <c r="J13" s="1030">
        <f>+I12-J12</f>
        <v>0.44490387470137449</v>
      </c>
    </row>
    <row r="14" spans="1:13" ht="15.75">
      <c r="A14" s="1029">
        <v>565</v>
      </c>
      <c r="B14" s="1018" t="s">
        <v>426</v>
      </c>
      <c r="C14" s="1027">
        <v>135051.87015063089</v>
      </c>
      <c r="D14" s="1026">
        <f>+C14</f>
        <v>135051.87015063089</v>
      </c>
      <c r="E14" s="1026">
        <v>142481.59435804957</v>
      </c>
      <c r="F14" s="1025">
        <v>128266.3580567457</v>
      </c>
      <c r="H14" s="1024" t="s">
        <v>1467</v>
      </c>
      <c r="J14" s="1028">
        <f>+J13*J11</f>
        <v>8894256.1467998382</v>
      </c>
    </row>
    <row r="15" spans="1:13" ht="19.5" customHeight="1">
      <c r="A15" s="1029">
        <v>456</v>
      </c>
      <c r="B15" s="1018" t="s">
        <v>427</v>
      </c>
      <c r="C15" s="1027">
        <v>-130266.75517406844</v>
      </c>
      <c r="D15" s="1026">
        <f>+C15</f>
        <v>-130266.75517406844</v>
      </c>
      <c r="E15" s="1026">
        <v>-24671.916034157108</v>
      </c>
      <c r="F15" s="1025">
        <v>-57639.705130644856</v>
      </c>
      <c r="H15" s="1024" t="s">
        <v>1472</v>
      </c>
      <c r="J15" s="1028">
        <f>+J14/1000</f>
        <v>8894.2561467998385</v>
      </c>
    </row>
    <row r="16" spans="1:13" ht="16.5" thickBot="1">
      <c r="A16" s="1019">
        <v>557</v>
      </c>
      <c r="B16" s="1018" t="s">
        <v>428</v>
      </c>
      <c r="C16" s="1027">
        <v>16711.586023277483</v>
      </c>
      <c r="D16" s="1026">
        <v>17153.94262085393</v>
      </c>
      <c r="E16" s="1026">
        <v>17615.53296393442</v>
      </c>
      <c r="F16" s="1025">
        <v>14722.501100000003</v>
      </c>
      <c r="H16" s="1024" t="s">
        <v>1469</v>
      </c>
    </row>
    <row r="17" spans="1:14" ht="16.5" thickTop="1">
      <c r="A17" s="1019"/>
      <c r="B17" s="1023" t="s">
        <v>429</v>
      </c>
      <c r="C17" s="1022">
        <f>SUM(C7:C16)</f>
        <v>933043.53349337506</v>
      </c>
      <c r="D17" s="1021">
        <f>SUM(D7:D16)</f>
        <v>942380.14623775124</v>
      </c>
      <c r="E17" s="1021">
        <f>SUM(E7:E16)</f>
        <v>850815.64074028376</v>
      </c>
      <c r="F17" s="1020">
        <f>SUM(F7:F16)</f>
        <v>764021.03792461858</v>
      </c>
      <c r="G17" s="1003"/>
    </row>
    <row r="18" spans="1:14" ht="15.75">
      <c r="A18" s="1019"/>
      <c r="B18" s="1018"/>
      <c r="C18" s="1017"/>
      <c r="D18" s="1016"/>
      <c r="E18" s="1016"/>
      <c r="F18" s="1015"/>
      <c r="H18" s="1014" t="s">
        <v>1474</v>
      </c>
      <c r="J18" s="1006"/>
      <c r="K18" s="827"/>
      <c r="L18" s="1006"/>
    </row>
    <row r="19" spans="1:14" ht="15">
      <c r="A19" s="1013"/>
      <c r="B19" s="1012" t="s">
        <v>549</v>
      </c>
      <c r="C19" s="1011">
        <f>+'Power Cost summary'!C19</f>
        <v>21489772.975280751</v>
      </c>
      <c r="D19" s="1011">
        <f>+'Power Cost summary'!D19</f>
        <v>21697589.934758965</v>
      </c>
      <c r="E19" s="1011">
        <v>21111988.991196703</v>
      </c>
      <c r="F19" s="1010">
        <v>20803205.018951166</v>
      </c>
      <c r="H19" s="998" t="s">
        <v>1475</v>
      </c>
      <c r="J19" s="1006"/>
      <c r="K19" s="827"/>
      <c r="L19" s="1006"/>
    </row>
    <row r="20" spans="1:14">
      <c r="A20" s="1009"/>
      <c r="B20" s="1009"/>
      <c r="C20" s="1008"/>
      <c r="D20" s="1008"/>
      <c r="E20" s="1008"/>
      <c r="F20" s="1007"/>
      <c r="H20" s="998" t="s">
        <v>1477</v>
      </c>
      <c r="J20" s="1006"/>
      <c r="K20" s="827"/>
      <c r="L20" s="1006"/>
    </row>
    <row r="21" spans="1:14">
      <c r="A21" s="1005" t="s">
        <v>1373</v>
      </c>
      <c r="B21" s="1001"/>
      <c r="C21" s="1004"/>
      <c r="D21" s="999"/>
      <c r="E21" s="999"/>
      <c r="F21" s="999"/>
      <c r="G21" s="1003"/>
      <c r="H21" s="998" t="s">
        <v>1478</v>
      </c>
    </row>
    <row r="22" spans="1:14">
      <c r="A22" s="1002" t="s">
        <v>1374</v>
      </c>
      <c r="B22" s="1001"/>
      <c r="C22" s="1000"/>
      <c r="D22" s="999"/>
      <c r="E22" s="999"/>
      <c r="F22" s="995"/>
      <c r="H22" s="998" t="s">
        <v>1476</v>
      </c>
    </row>
    <row r="23" spans="1:14">
      <c r="A23" s="1002"/>
      <c r="B23" s="1001"/>
      <c r="C23" s="1000"/>
      <c r="D23" s="999"/>
      <c r="E23" s="999"/>
      <c r="F23" s="995"/>
      <c r="I23" s="998"/>
    </row>
    <row r="24" spans="1:14" ht="18.75">
      <c r="A24" s="997" t="s">
        <v>1479</v>
      </c>
      <c r="B24" s="996"/>
      <c r="F24" s="995"/>
    </row>
    <row r="25" spans="1:14" ht="31.5">
      <c r="A25" s="993" t="s">
        <v>416</v>
      </c>
      <c r="B25" s="992" t="s">
        <v>417</v>
      </c>
      <c r="C25" s="991" t="s">
        <v>651</v>
      </c>
      <c r="D25" s="990" t="s">
        <v>652</v>
      </c>
      <c r="E25" s="990" t="s">
        <v>653</v>
      </c>
      <c r="F25" s="989" t="s">
        <v>654</v>
      </c>
      <c r="J25" s="1055" t="s">
        <v>1487</v>
      </c>
      <c r="K25" s="1056"/>
      <c r="L25" s="1056"/>
      <c r="M25" s="1056"/>
      <c r="N25" s="1057"/>
    </row>
    <row r="26" spans="1:14" ht="15.75">
      <c r="A26" s="978">
        <v>501</v>
      </c>
      <c r="B26" s="988" t="s">
        <v>418</v>
      </c>
      <c r="C26" s="985">
        <v>38111.69404122312</v>
      </c>
      <c r="D26" s="984">
        <v>38111.69404122312</v>
      </c>
      <c r="E26" s="984">
        <v>44102.798880000002</v>
      </c>
      <c r="F26" s="983">
        <v>41753.818174172084</v>
      </c>
      <c r="J26" s="900">
        <v>10209.052031599491</v>
      </c>
      <c r="K26" s="901" t="s">
        <v>1483</v>
      </c>
      <c r="L26" s="902"/>
      <c r="M26" s="902"/>
      <c r="N26" s="902"/>
    </row>
    <row r="27" spans="1:14" ht="15.75">
      <c r="A27" s="978">
        <v>547</v>
      </c>
      <c r="B27" s="977" t="s">
        <v>419</v>
      </c>
      <c r="C27" s="985">
        <v>237100.49243944633</v>
      </c>
      <c r="D27" s="984">
        <v>237100.49243944633</v>
      </c>
      <c r="E27" s="984">
        <v>207712.02388428908</v>
      </c>
      <c r="F27" s="983">
        <v>155199.11016863459</v>
      </c>
      <c r="J27" s="903">
        <f>(J15-J26)*1000</f>
        <v>-1314795.8847996525</v>
      </c>
      <c r="K27" s="901" t="s">
        <v>1484</v>
      </c>
      <c r="L27" s="902"/>
      <c r="M27" s="902"/>
      <c r="N27" s="902"/>
    </row>
    <row r="28" spans="1:14" ht="15.75">
      <c r="A28" s="978" t="s">
        <v>430</v>
      </c>
      <c r="B28" s="977" t="s">
        <v>431</v>
      </c>
      <c r="C28" s="985">
        <v>76315.417629999996</v>
      </c>
      <c r="D28" s="984">
        <v>76315.417629999996</v>
      </c>
      <c r="E28" s="984">
        <v>78092.500537999993</v>
      </c>
      <c r="F28" s="983">
        <v>14178.879207000002</v>
      </c>
      <c r="J28" s="904">
        <v>0.95234799999999997</v>
      </c>
      <c r="K28" s="902" t="s">
        <v>1485</v>
      </c>
      <c r="L28" s="902"/>
      <c r="M28" s="902"/>
      <c r="N28" s="902"/>
    </row>
    <row r="29" spans="1:14" ht="15.75">
      <c r="A29" s="987" t="s">
        <v>420</v>
      </c>
      <c r="B29" s="977" t="s">
        <v>421</v>
      </c>
      <c r="C29" s="985">
        <v>218065.53486061268</v>
      </c>
      <c r="D29" s="984">
        <v>218065.53486061268</v>
      </c>
      <c r="E29" s="984">
        <v>171779.78303756096</v>
      </c>
      <c r="F29" s="983">
        <v>154629.58259088211</v>
      </c>
      <c r="J29" s="903">
        <f>J27/J28</f>
        <v>-1380583.4472269092</v>
      </c>
      <c r="K29" s="901" t="s">
        <v>1486</v>
      </c>
      <c r="L29" s="902"/>
      <c r="M29" s="902"/>
      <c r="N29" s="902"/>
    </row>
    <row r="30" spans="1:14" ht="15.75">
      <c r="A30" s="987" t="s">
        <v>422</v>
      </c>
      <c r="B30" s="977" t="s">
        <v>423</v>
      </c>
      <c r="C30" s="985">
        <v>232244.00622087673</v>
      </c>
      <c r="D30" s="984">
        <v>232244.00622087673</v>
      </c>
      <c r="E30" s="984">
        <v>130528.6680712118</v>
      </c>
      <c r="F30" s="983">
        <v>75775.032755105276</v>
      </c>
    </row>
    <row r="31" spans="1:14" ht="15.75">
      <c r="A31" s="978">
        <v>555</v>
      </c>
      <c r="B31" s="977" t="s">
        <v>424</v>
      </c>
      <c r="C31" s="985">
        <v>449217.67730999494</v>
      </c>
      <c r="D31" s="984">
        <v>459426.72934159444</v>
      </c>
      <c r="E31" s="984">
        <v>198498.91878939504</v>
      </c>
      <c r="F31" s="983">
        <v>283341.49241290003</v>
      </c>
    </row>
    <row r="32" spans="1:14" ht="15.75">
      <c r="A32" s="978">
        <v>447</v>
      </c>
      <c r="B32" s="977" t="s">
        <v>425</v>
      </c>
      <c r="C32" s="985">
        <v>-202982.35780100001</v>
      </c>
      <c r="D32" s="984">
        <v>-202982.35780100001</v>
      </c>
      <c r="E32" s="984">
        <v>-115324.263748</v>
      </c>
      <c r="F32" s="983">
        <v>-46206.031410176467</v>
      </c>
    </row>
    <row r="33" spans="1:6" ht="15.75">
      <c r="A33" s="986">
        <v>565</v>
      </c>
      <c r="B33" s="977" t="s">
        <v>426</v>
      </c>
      <c r="C33" s="985">
        <v>135104.27079105316</v>
      </c>
      <c r="D33" s="984">
        <v>135104.27079105316</v>
      </c>
      <c r="E33" s="984">
        <v>142481.59435804957</v>
      </c>
      <c r="F33" s="983">
        <v>128266.3580567457</v>
      </c>
    </row>
    <row r="34" spans="1:6" ht="15.75">
      <c r="A34" s="986">
        <v>456</v>
      </c>
      <c r="B34" s="977" t="s">
        <v>427</v>
      </c>
      <c r="C34" s="985">
        <v>-131067.69711050199</v>
      </c>
      <c r="D34" s="984">
        <v>-131067.69711050199</v>
      </c>
      <c r="E34" s="984">
        <v>-24671.916034157108</v>
      </c>
      <c r="F34" s="983">
        <v>-57639.705130644856</v>
      </c>
    </row>
    <row r="35" spans="1:6" ht="16.5" thickBot="1">
      <c r="A35" s="978">
        <v>557</v>
      </c>
      <c r="B35" s="977" t="s">
        <v>428</v>
      </c>
      <c r="C35" s="985">
        <v>16711.586023277483</v>
      </c>
      <c r="D35" s="984">
        <v>17153.94262085393</v>
      </c>
      <c r="E35" s="984">
        <v>17615.53296393442</v>
      </c>
      <c r="F35" s="983">
        <v>14722.501100000003</v>
      </c>
    </row>
    <row r="36" spans="1:6" ht="16.5" thickTop="1">
      <c r="A36" s="978"/>
      <c r="B36" s="982" t="s">
        <v>429</v>
      </c>
      <c r="C36" s="981">
        <v>1068820.6244049822</v>
      </c>
      <c r="D36" s="980">
        <v>1079472.0330341582</v>
      </c>
      <c r="E36" s="980">
        <v>850815.64074028376</v>
      </c>
      <c r="F36" s="979">
        <v>764021.03792461858</v>
      </c>
    </row>
    <row r="37" spans="1:6" ht="15.75">
      <c r="A37" s="978"/>
      <c r="B37" s="977"/>
      <c r="C37" s="976"/>
      <c r="D37" s="975"/>
      <c r="E37" s="975"/>
      <c r="F37" s="974"/>
    </row>
    <row r="38" spans="1:6" ht="15">
      <c r="A38" s="973"/>
      <c r="B38" s="972" t="s">
        <v>549</v>
      </c>
      <c r="C38" s="971">
        <v>21489772.975280751</v>
      </c>
      <c r="D38" s="971">
        <v>21697589.934758965</v>
      </c>
      <c r="E38" s="971">
        <v>21111988.991196703</v>
      </c>
      <c r="F38" s="970">
        <v>20803205.018951166</v>
      </c>
    </row>
    <row r="39" spans="1:6" ht="18.75">
      <c r="A39" s="994" t="s">
        <v>1455</v>
      </c>
    </row>
    <row r="40" spans="1:6" ht="31.5">
      <c r="A40" s="993" t="s">
        <v>416</v>
      </c>
      <c r="B40" s="992" t="s">
        <v>417</v>
      </c>
      <c r="C40" s="991" t="s">
        <v>651</v>
      </c>
      <c r="D40" s="990" t="s">
        <v>652</v>
      </c>
      <c r="E40" s="990" t="s">
        <v>653</v>
      </c>
      <c r="F40" s="989" t="s">
        <v>654</v>
      </c>
    </row>
    <row r="41" spans="1:6" ht="15.75">
      <c r="A41" s="978">
        <v>501</v>
      </c>
      <c r="B41" s="988" t="s">
        <v>418</v>
      </c>
      <c r="C41" s="985">
        <f t="shared" ref="C41:F51" si="0">+C7-C26</f>
        <v>27578.867094764428</v>
      </c>
      <c r="D41" s="984">
        <f t="shared" si="0"/>
        <v>27578.867094764428</v>
      </c>
      <c r="E41" s="984">
        <f t="shared" si="0"/>
        <v>0</v>
      </c>
      <c r="F41" s="983">
        <f t="shared" si="0"/>
        <v>0</v>
      </c>
    </row>
    <row r="42" spans="1:6" ht="15.75">
      <c r="A42" s="978">
        <v>547</v>
      </c>
      <c r="B42" s="977" t="s">
        <v>419</v>
      </c>
      <c r="C42" s="985">
        <f t="shared" si="0"/>
        <v>263241.9620336197</v>
      </c>
      <c r="D42" s="984">
        <f t="shared" si="0"/>
        <v>263241.9620336197</v>
      </c>
      <c r="E42" s="984">
        <f t="shared" si="0"/>
        <v>0</v>
      </c>
      <c r="F42" s="983">
        <f t="shared" si="0"/>
        <v>0</v>
      </c>
    </row>
    <row r="43" spans="1:6" ht="15.75">
      <c r="A43" s="978" t="s">
        <v>430</v>
      </c>
      <c r="B43" s="977" t="s">
        <v>431</v>
      </c>
      <c r="C43" s="985">
        <f t="shared" si="0"/>
        <v>0</v>
      </c>
      <c r="D43" s="984">
        <f t="shared" si="0"/>
        <v>0</v>
      </c>
      <c r="E43" s="984">
        <f t="shared" si="0"/>
        <v>0</v>
      </c>
      <c r="F43" s="983">
        <f t="shared" si="0"/>
        <v>0</v>
      </c>
    </row>
    <row r="44" spans="1:6" ht="15.75">
      <c r="A44" s="987" t="s">
        <v>420</v>
      </c>
      <c r="B44" s="977" t="s">
        <v>421</v>
      </c>
      <c r="C44" s="985">
        <f t="shared" si="0"/>
        <v>0</v>
      </c>
      <c r="D44" s="984">
        <f t="shared" si="0"/>
        <v>0</v>
      </c>
      <c r="E44" s="984">
        <f t="shared" si="0"/>
        <v>0</v>
      </c>
      <c r="F44" s="983">
        <f t="shared" si="0"/>
        <v>0</v>
      </c>
    </row>
    <row r="45" spans="1:6" ht="15.75">
      <c r="A45" s="987" t="s">
        <v>422</v>
      </c>
      <c r="B45" s="977" t="s">
        <v>423</v>
      </c>
      <c r="C45" s="985">
        <f t="shared" si="0"/>
        <v>-148239.25173100285</v>
      </c>
      <c r="D45" s="984">
        <f t="shared" si="0"/>
        <v>-148239.25173100285</v>
      </c>
      <c r="E45" s="984">
        <f t="shared" si="0"/>
        <v>0</v>
      </c>
      <c r="F45" s="983">
        <f t="shared" si="0"/>
        <v>0</v>
      </c>
    </row>
    <row r="46" spans="1:6" ht="15.75">
      <c r="A46" s="978">
        <v>555</v>
      </c>
      <c r="B46" s="977" t="s">
        <v>424</v>
      </c>
      <c r="C46" s="985">
        <f t="shared" si="0"/>
        <v>0</v>
      </c>
      <c r="D46" s="984">
        <f t="shared" si="0"/>
        <v>-1314.7958847996779</v>
      </c>
      <c r="E46" s="984">
        <f t="shared" si="0"/>
        <v>0</v>
      </c>
      <c r="F46" s="983">
        <f t="shared" si="0"/>
        <v>0</v>
      </c>
    </row>
    <row r="47" spans="1:6" ht="15.75">
      <c r="A47" s="978">
        <v>447</v>
      </c>
      <c r="B47" s="977" t="s">
        <v>425</v>
      </c>
      <c r="C47" s="985">
        <f t="shared" si="0"/>
        <v>-279107.20960499998</v>
      </c>
      <c r="D47" s="984">
        <f t="shared" si="0"/>
        <v>-279107.20960499998</v>
      </c>
      <c r="E47" s="984">
        <f t="shared" si="0"/>
        <v>0</v>
      </c>
      <c r="F47" s="983">
        <f t="shared" si="0"/>
        <v>0</v>
      </c>
    </row>
    <row r="48" spans="1:6" ht="15.75">
      <c r="A48" s="986">
        <v>565</v>
      </c>
      <c r="B48" s="977" t="s">
        <v>426</v>
      </c>
      <c r="C48" s="985">
        <f t="shared" si="0"/>
        <v>-52.400640422274591</v>
      </c>
      <c r="D48" s="984">
        <f t="shared" si="0"/>
        <v>-52.400640422274591</v>
      </c>
      <c r="E48" s="984">
        <f t="shared" si="0"/>
        <v>0</v>
      </c>
      <c r="F48" s="983">
        <f t="shared" si="0"/>
        <v>0</v>
      </c>
    </row>
    <row r="49" spans="1:9" ht="15.75">
      <c r="A49" s="986">
        <v>456</v>
      </c>
      <c r="B49" s="977" t="s">
        <v>427</v>
      </c>
      <c r="C49" s="985">
        <f t="shared" si="0"/>
        <v>800.94193643354811</v>
      </c>
      <c r="D49" s="984">
        <f t="shared" si="0"/>
        <v>800.94193643354811</v>
      </c>
      <c r="E49" s="984">
        <f t="shared" si="0"/>
        <v>0</v>
      </c>
      <c r="F49" s="983">
        <f t="shared" si="0"/>
        <v>0</v>
      </c>
    </row>
    <row r="50" spans="1:9" ht="16.5" thickBot="1">
      <c r="A50" s="978">
        <v>557</v>
      </c>
      <c r="B50" s="977" t="s">
        <v>428</v>
      </c>
      <c r="C50" s="985">
        <f t="shared" si="0"/>
        <v>0</v>
      </c>
      <c r="D50" s="984">
        <f t="shared" si="0"/>
        <v>0</v>
      </c>
      <c r="E50" s="984">
        <f t="shared" si="0"/>
        <v>0</v>
      </c>
      <c r="F50" s="983">
        <f t="shared" si="0"/>
        <v>0</v>
      </c>
    </row>
    <row r="51" spans="1:9" ht="24" thickTop="1">
      <c r="A51" s="978"/>
      <c r="B51" s="982" t="s">
        <v>429</v>
      </c>
      <c r="C51" s="981">
        <f t="shared" si="0"/>
        <v>-135777.09091160714</v>
      </c>
      <c r="D51" s="980">
        <f t="shared" si="0"/>
        <v>-137091.88679640694</v>
      </c>
      <c r="E51" s="980">
        <f t="shared" si="0"/>
        <v>0</v>
      </c>
      <c r="F51" s="979">
        <f t="shared" si="0"/>
        <v>0</v>
      </c>
      <c r="G51" s="895" t="s">
        <v>1480</v>
      </c>
      <c r="H51" s="896"/>
      <c r="I51" s="896"/>
    </row>
    <row r="52" spans="1:9" ht="15.75">
      <c r="A52" s="978"/>
      <c r="B52" s="977"/>
      <c r="C52" s="976"/>
      <c r="D52" s="975"/>
      <c r="E52" s="975"/>
      <c r="F52" s="974"/>
    </row>
    <row r="53" spans="1:9" ht="15">
      <c r="A53" s="973"/>
      <c r="B53" s="972" t="s">
        <v>549</v>
      </c>
      <c r="C53" s="971">
        <f>+C19-C38</f>
        <v>0</v>
      </c>
      <c r="D53" s="971">
        <f>+D19-D38</f>
        <v>0</v>
      </c>
      <c r="E53" s="971">
        <f>+E19-E38</f>
        <v>0</v>
      </c>
      <c r="F53" s="970">
        <f>+F19-F38</f>
        <v>0</v>
      </c>
    </row>
  </sheetData>
  <mergeCells count="1">
    <mergeCell ref="J25:N25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5" zoomScaleNormal="85" workbookViewId="0">
      <selection activeCell="M26" sqref="M26"/>
    </sheetView>
  </sheetViews>
  <sheetFormatPr defaultRowHeight="12.75"/>
  <cols>
    <col min="2" max="2" width="27.140625" bestFit="1" customWidth="1"/>
    <col min="3" max="3" width="15.28515625" bestFit="1" customWidth="1"/>
    <col min="4" max="6" width="11.5703125" bestFit="1" customWidth="1"/>
    <col min="7" max="7" width="12.5703125" bestFit="1" customWidth="1"/>
  </cols>
  <sheetData>
    <row r="1" spans="1:7" ht="18.75">
      <c r="A1" s="530" t="s">
        <v>368</v>
      </c>
      <c r="B1" s="531"/>
      <c r="C1" s="532"/>
      <c r="D1" s="532"/>
      <c r="E1" s="532"/>
      <c r="F1" s="532"/>
    </row>
    <row r="2" spans="1:7" ht="21">
      <c r="A2" s="533" t="s">
        <v>415</v>
      </c>
      <c r="B2" s="531"/>
      <c r="C2" s="532"/>
      <c r="D2" s="532"/>
      <c r="E2" s="532"/>
      <c r="F2" s="532"/>
    </row>
    <row r="3" spans="1:7" ht="18.75">
      <c r="A3" s="534" t="s">
        <v>650</v>
      </c>
      <c r="B3" s="531"/>
      <c r="C3" s="532"/>
      <c r="D3" s="532"/>
      <c r="E3" s="532"/>
      <c r="F3" s="532"/>
    </row>
    <row r="4" spans="1:7" ht="18.75">
      <c r="A4" s="191"/>
      <c r="B4" s="535"/>
      <c r="C4" s="532"/>
      <c r="D4" s="532"/>
      <c r="E4" s="532"/>
      <c r="F4" s="532"/>
    </row>
    <row r="5" spans="1:7" ht="15">
      <c r="A5" s="191"/>
      <c r="B5" s="531"/>
      <c r="C5" s="536"/>
      <c r="D5" s="536"/>
      <c r="E5" s="536"/>
      <c r="F5" s="536"/>
    </row>
    <row r="6" spans="1:7" ht="31.5">
      <c r="A6" s="537" t="s">
        <v>416</v>
      </c>
      <c r="B6" s="538" t="s">
        <v>417</v>
      </c>
      <c r="C6" s="539" t="s">
        <v>651</v>
      </c>
      <c r="D6" s="540" t="s">
        <v>652</v>
      </c>
      <c r="E6" s="540" t="s">
        <v>653</v>
      </c>
      <c r="F6" s="541" t="s">
        <v>654</v>
      </c>
    </row>
    <row r="7" spans="1:7" ht="15.75">
      <c r="A7" s="542">
        <v>501</v>
      </c>
      <c r="B7" s="543" t="s">
        <v>418</v>
      </c>
      <c r="C7" s="544">
        <v>47133.028890000001</v>
      </c>
      <c r="D7" s="545">
        <v>44057.838960000008</v>
      </c>
      <c r="E7" s="545">
        <v>44102.798880000002</v>
      </c>
      <c r="F7" s="546">
        <v>41753.818174172084</v>
      </c>
    </row>
    <row r="8" spans="1:7" ht="15.75">
      <c r="A8" s="542">
        <v>547</v>
      </c>
      <c r="B8" s="547" t="s">
        <v>419</v>
      </c>
      <c r="C8" s="830">
        <f>211780.599198211+C25</f>
        <v>207427.59919821101</v>
      </c>
      <c r="D8" s="545">
        <v>207585.50083758991</v>
      </c>
      <c r="E8" s="545">
        <v>207712.02388428908</v>
      </c>
      <c r="F8" s="546">
        <v>155199.11016863459</v>
      </c>
    </row>
    <row r="9" spans="1:7" ht="15.75">
      <c r="A9" s="542" t="s">
        <v>430</v>
      </c>
      <c r="B9" s="547" t="s">
        <v>431</v>
      </c>
      <c r="C9" s="544">
        <v>77608.997270000007</v>
      </c>
      <c r="D9" s="545">
        <v>78005.192255000016</v>
      </c>
      <c r="E9" s="545">
        <v>78092.500537999993</v>
      </c>
      <c r="F9" s="546">
        <v>14178.879207000002</v>
      </c>
    </row>
    <row r="10" spans="1:7" ht="15.75">
      <c r="A10" s="548" t="s">
        <v>420</v>
      </c>
      <c r="B10" s="547" t="s">
        <v>421</v>
      </c>
      <c r="C10" s="544">
        <v>187002.68174375733</v>
      </c>
      <c r="D10" s="545">
        <v>182486.40307676824</v>
      </c>
      <c r="E10" s="545">
        <v>171779.78303756096</v>
      </c>
      <c r="F10" s="546">
        <v>154629.58259088211</v>
      </c>
    </row>
    <row r="11" spans="1:7" ht="15.75">
      <c r="A11" s="548" t="s">
        <v>422</v>
      </c>
      <c r="B11" s="547" t="s">
        <v>423</v>
      </c>
      <c r="C11" s="544">
        <v>115482.18069287675</v>
      </c>
      <c r="D11" s="545">
        <v>121712.51563791046</v>
      </c>
      <c r="E11" s="545">
        <v>130528.6680712118</v>
      </c>
      <c r="F11" s="546">
        <v>75775.032755105276</v>
      </c>
    </row>
    <row r="12" spans="1:7" ht="15.75">
      <c r="A12" s="542">
        <v>555</v>
      </c>
      <c r="B12" s="547" t="s">
        <v>424</v>
      </c>
      <c r="C12" s="544">
        <v>283262.667487895</v>
      </c>
      <c r="D12" s="545">
        <v>287419.57917119499</v>
      </c>
      <c r="E12" s="545">
        <v>198498.91878939504</v>
      </c>
      <c r="F12" s="546">
        <v>283341.49241290003</v>
      </c>
    </row>
    <row r="13" spans="1:7" ht="15.75">
      <c r="A13" s="542">
        <v>447</v>
      </c>
      <c r="B13" s="547" t="s">
        <v>425</v>
      </c>
      <c r="C13" s="544">
        <v>-128535.20191999999</v>
      </c>
      <c r="D13" s="545">
        <v>-135668.37024799999</v>
      </c>
      <c r="E13" s="545">
        <v>-115324.263748</v>
      </c>
      <c r="F13" s="546">
        <v>-46206.031410176467</v>
      </c>
    </row>
    <row r="14" spans="1:7" ht="15.75">
      <c r="A14" s="568">
        <v>565</v>
      </c>
      <c r="B14" s="547" t="s">
        <v>426</v>
      </c>
      <c r="C14" s="544">
        <v>135862.20025238866</v>
      </c>
      <c r="D14" s="545">
        <v>140769.85958541866</v>
      </c>
      <c r="E14" s="545">
        <v>142481.59435804957</v>
      </c>
      <c r="F14" s="546">
        <v>128266.3580567457</v>
      </c>
    </row>
    <row r="15" spans="1:7" ht="15.75">
      <c r="A15" s="568">
        <v>456</v>
      </c>
      <c r="B15" s="547" t="s">
        <v>427</v>
      </c>
      <c r="C15" s="544">
        <v>-43938.971690573824</v>
      </c>
      <c r="D15" s="545">
        <v>-30092.087967653166</v>
      </c>
      <c r="E15" s="545">
        <v>-24671.916034157108</v>
      </c>
      <c r="F15" s="546">
        <v>-57639.705130644856</v>
      </c>
      <c r="G15" s="756"/>
    </row>
    <row r="16" spans="1:7" ht="16.5" thickBot="1">
      <c r="A16" s="542">
        <v>557</v>
      </c>
      <c r="B16" s="547" t="s">
        <v>428</v>
      </c>
      <c r="C16" s="544">
        <v>16711.586023277483</v>
      </c>
      <c r="D16" s="545">
        <v>17153.94262085393</v>
      </c>
      <c r="E16" s="545">
        <v>17615.53296393442</v>
      </c>
      <c r="F16" s="546">
        <v>14722.501100000003</v>
      </c>
    </row>
    <row r="17" spans="1:10" ht="16.5" thickTop="1">
      <c r="A17" s="542"/>
      <c r="B17" s="549" t="s">
        <v>429</v>
      </c>
      <c r="C17" s="550">
        <f>SUM(C7:C16)</f>
        <v>898016.76794783236</v>
      </c>
      <c r="D17" s="551">
        <f>SUM(D7:D16)</f>
        <v>913430.373929083</v>
      </c>
      <c r="E17" s="551">
        <f>SUM(E7:E16)</f>
        <v>850815.64074028376</v>
      </c>
      <c r="F17" s="552">
        <f>SUM(F7:F16)</f>
        <v>764021.03792461858</v>
      </c>
      <c r="G17" s="756"/>
    </row>
    <row r="18" spans="1:10" ht="15.75">
      <c r="A18" s="542"/>
      <c r="B18" s="547"/>
      <c r="C18" s="553"/>
      <c r="D18" s="554"/>
      <c r="E18" s="554"/>
      <c r="F18" s="555"/>
    </row>
    <row r="19" spans="1:10" ht="15">
      <c r="A19" s="556"/>
      <c r="B19" s="557" t="s">
        <v>549</v>
      </c>
      <c r="C19" s="558">
        <v>21350789.922079273</v>
      </c>
      <c r="D19" s="558">
        <v>21564086.999768417</v>
      </c>
      <c r="E19" s="558">
        <v>21111988.991196703</v>
      </c>
      <c r="F19" s="559">
        <v>20803205.018951166</v>
      </c>
    </row>
    <row r="20" spans="1:10">
      <c r="A20" s="191"/>
      <c r="B20" s="191"/>
      <c r="C20" s="560"/>
      <c r="D20" s="560"/>
      <c r="E20" s="560"/>
      <c r="F20" s="561"/>
    </row>
    <row r="21" spans="1:10">
      <c r="A21" s="562" t="s">
        <v>1373</v>
      </c>
      <c r="B21" s="563"/>
      <c r="C21" s="564"/>
      <c r="D21" s="566"/>
      <c r="E21" s="566"/>
      <c r="F21" s="566"/>
      <c r="G21" s="756"/>
    </row>
    <row r="22" spans="1:10">
      <c r="A22" s="565" t="s">
        <v>1374</v>
      </c>
      <c r="B22" s="563"/>
      <c r="C22" s="571"/>
      <c r="D22" s="566"/>
      <c r="E22" s="566"/>
      <c r="F22" s="564"/>
    </row>
    <row r="23" spans="1:10">
      <c r="A23" s="829"/>
      <c r="B23" s="567"/>
      <c r="F23" s="564"/>
    </row>
    <row r="24" spans="1:10">
      <c r="A24" s="829"/>
      <c r="B24" s="828" t="s">
        <v>1457</v>
      </c>
      <c r="C24" s="827">
        <v>-4353000</v>
      </c>
      <c r="F24" s="564"/>
      <c r="J24" t="s">
        <v>1452</v>
      </c>
    </row>
    <row r="25" spans="1:10">
      <c r="B25" s="826" t="s">
        <v>1456</v>
      </c>
      <c r="C25" s="825">
        <f>+C24/1000</f>
        <v>-4353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9"/>
  <sheetViews>
    <sheetView zoomScale="80" zoomScaleNormal="80" workbookViewId="0">
      <selection activeCell="C8" sqref="C8"/>
    </sheetView>
  </sheetViews>
  <sheetFormatPr defaultColWidth="8.85546875" defaultRowHeight="15"/>
  <cols>
    <col min="1" max="1" width="7.42578125" style="836" customWidth="1"/>
    <col min="2" max="2" width="27" style="836" customWidth="1"/>
    <col min="3" max="3" width="17.28515625" style="893" customWidth="1"/>
    <col min="4" max="6" width="12.140625" style="893" customWidth="1"/>
    <col min="7" max="7" width="3.140625" style="836" customWidth="1"/>
    <col min="8" max="8" width="15.85546875" style="836" customWidth="1"/>
    <col min="9" max="9" width="3.42578125" style="836" customWidth="1"/>
    <col min="10" max="10" width="10.140625" style="834" customWidth="1"/>
    <col min="11" max="20" width="10.5703125" style="834" bestFit="1" customWidth="1"/>
    <col min="21" max="44" width="10.5703125" style="834" customWidth="1"/>
    <col min="45" max="45" width="10.5703125" style="834" bestFit="1" customWidth="1"/>
    <col min="46" max="49" width="8.85546875" style="834"/>
    <col min="50" max="50" width="13.85546875" style="834" customWidth="1"/>
    <col min="51" max="51" width="12.140625" style="834" customWidth="1"/>
    <col min="52" max="52" width="1.85546875" style="834" customWidth="1"/>
    <col min="53" max="53" width="12.85546875" style="834" bestFit="1" customWidth="1"/>
    <col min="54" max="54" width="11.85546875" style="834" customWidth="1"/>
    <col min="55" max="55" width="1.85546875" style="834" customWidth="1"/>
    <col min="56" max="56" width="12.140625" style="834" customWidth="1"/>
    <col min="57" max="57" width="13" style="835" customWidth="1"/>
    <col min="58" max="58" width="1.140625" style="835" customWidth="1"/>
    <col min="59" max="59" width="12.140625" style="835" customWidth="1"/>
    <col min="60" max="60" width="11.42578125" style="835" customWidth="1"/>
    <col min="61" max="61" width="8.85546875" style="836"/>
    <col min="62" max="62" width="10.140625" style="836" bestFit="1" customWidth="1"/>
    <col min="63" max="16384" width="8.85546875" style="836"/>
  </cols>
  <sheetData>
    <row r="1" spans="1:60" ht="18.75">
      <c r="A1" s="831" t="s">
        <v>368</v>
      </c>
      <c r="B1" s="832"/>
      <c r="C1" s="833"/>
      <c r="D1" s="833"/>
      <c r="E1" s="833"/>
      <c r="F1" s="833"/>
      <c r="G1" s="832"/>
      <c r="H1" s="832"/>
      <c r="I1" s="832"/>
    </row>
    <row r="2" spans="1:60" ht="21">
      <c r="A2" s="837" t="s">
        <v>1458</v>
      </c>
      <c r="B2" s="832"/>
      <c r="C2" s="833"/>
      <c r="D2" s="833"/>
      <c r="E2" s="833"/>
      <c r="F2" s="833"/>
      <c r="G2" s="832"/>
      <c r="H2" s="832"/>
      <c r="I2" s="832"/>
    </row>
    <row r="3" spans="1:60" ht="18.75">
      <c r="A3" s="838" t="s">
        <v>1459</v>
      </c>
      <c r="B3" s="832"/>
      <c r="C3" s="833"/>
      <c r="D3" s="833"/>
      <c r="E3" s="833"/>
      <c r="F3" s="833"/>
      <c r="G3" s="832"/>
      <c r="H3" s="832"/>
      <c r="I3" s="832"/>
    </row>
    <row r="4" spans="1:60" ht="27.6" customHeight="1">
      <c r="B4" s="839"/>
      <c r="C4" s="833"/>
      <c r="D4" s="833"/>
      <c r="E4" s="833"/>
      <c r="F4" s="833"/>
      <c r="G4" s="839"/>
      <c r="H4" s="839"/>
      <c r="I4" s="839"/>
    </row>
    <row r="5" spans="1:60" ht="30" customHeight="1">
      <c r="B5" s="832"/>
      <c r="C5" s="840"/>
      <c r="D5" s="840"/>
      <c r="E5" s="840"/>
      <c r="F5" s="840"/>
      <c r="G5" s="832"/>
      <c r="H5" s="832"/>
      <c r="I5" s="832"/>
    </row>
    <row r="6" spans="1:60" ht="58.5" customHeight="1">
      <c r="A6" s="841" t="s">
        <v>416</v>
      </c>
      <c r="B6" s="842" t="s">
        <v>417</v>
      </c>
      <c r="C6" s="843" t="s">
        <v>1460</v>
      </c>
      <c r="D6" s="844">
        <v>2024</v>
      </c>
      <c r="E6" s="844">
        <v>2025</v>
      </c>
      <c r="F6" s="845" t="s">
        <v>1461</v>
      </c>
      <c r="G6" s="842"/>
      <c r="H6" s="844" t="s">
        <v>1462</v>
      </c>
      <c r="I6" s="842"/>
      <c r="BE6" s="846"/>
      <c r="BF6" s="847"/>
      <c r="BG6" s="846"/>
      <c r="BH6" s="846"/>
    </row>
    <row r="7" spans="1:60">
      <c r="A7" s="848">
        <v>501</v>
      </c>
      <c r="B7" s="849" t="s">
        <v>418</v>
      </c>
      <c r="C7" s="850">
        <v>38111.69404122312</v>
      </c>
      <c r="D7" s="851">
        <v>32591.441861071962</v>
      </c>
      <c r="E7" s="851">
        <v>34219.550228716922</v>
      </c>
      <c r="F7" s="852">
        <v>47133.028890000001</v>
      </c>
      <c r="G7" s="853"/>
      <c r="H7" s="851">
        <f>C7-F7</f>
        <v>-9021.3348487768817</v>
      </c>
      <c r="I7" s="853"/>
      <c r="BE7" s="854"/>
      <c r="BG7" s="854"/>
      <c r="BH7" s="854"/>
    </row>
    <row r="8" spans="1:60">
      <c r="A8" s="848">
        <v>547</v>
      </c>
      <c r="B8" s="853" t="s">
        <v>419</v>
      </c>
      <c r="C8" s="850">
        <v>237100.49243944633</v>
      </c>
      <c r="D8" s="851">
        <v>236082.9217255195</v>
      </c>
      <c r="E8" s="851">
        <v>225203.62288345472</v>
      </c>
      <c r="F8" s="852">
        <v>211780.59919821113</v>
      </c>
      <c r="G8" s="853"/>
      <c r="H8" s="851">
        <f t="shared" ref="H8:H16" si="0">C8-F8</f>
        <v>25319.893241235201</v>
      </c>
      <c r="I8" s="853"/>
      <c r="BE8" s="854"/>
      <c r="BG8" s="854"/>
      <c r="BH8" s="854"/>
    </row>
    <row r="9" spans="1:60">
      <c r="A9" s="848" t="s">
        <v>430</v>
      </c>
      <c r="B9" s="853" t="s">
        <v>431</v>
      </c>
      <c r="C9" s="850">
        <v>76315.417629999996</v>
      </c>
      <c r="D9" s="851">
        <v>76750.822016999999</v>
      </c>
      <c r="E9" s="851">
        <v>76846.373324999993</v>
      </c>
      <c r="F9" s="852">
        <v>77608.997269999993</v>
      </c>
      <c r="G9" s="853"/>
      <c r="H9" s="851">
        <f t="shared" si="0"/>
        <v>-1293.5796399999963</v>
      </c>
      <c r="I9" s="853"/>
      <c r="BE9" s="854"/>
      <c r="BG9" s="854"/>
      <c r="BH9" s="854"/>
    </row>
    <row r="10" spans="1:60">
      <c r="A10" s="855" t="s">
        <v>420</v>
      </c>
      <c r="B10" s="853" t="s">
        <v>421</v>
      </c>
      <c r="C10" s="850">
        <v>218065.53486061268</v>
      </c>
      <c r="D10" s="851">
        <v>225111.46402446271</v>
      </c>
      <c r="E10" s="851">
        <v>216351.91727765961</v>
      </c>
      <c r="F10" s="852">
        <v>187002.68174375733</v>
      </c>
      <c r="G10" s="853"/>
      <c r="H10" s="851">
        <f t="shared" si="0"/>
        <v>31062.853116855345</v>
      </c>
      <c r="I10" s="853"/>
      <c r="BE10" s="854"/>
      <c r="BG10" s="854"/>
      <c r="BH10" s="854"/>
    </row>
    <row r="11" spans="1:60">
      <c r="A11" s="855" t="s">
        <v>422</v>
      </c>
      <c r="B11" s="853" t="s">
        <v>423</v>
      </c>
      <c r="C11" s="850">
        <v>232244.00622087673</v>
      </c>
      <c r="D11" s="851">
        <v>253930.39864391048</v>
      </c>
      <c r="E11" s="851">
        <v>361085.29147721181</v>
      </c>
      <c r="F11" s="852">
        <v>115482.18069287676</v>
      </c>
      <c r="G11" s="853"/>
      <c r="H11" s="851">
        <f t="shared" si="0"/>
        <v>116761.82552799997</v>
      </c>
      <c r="I11" s="853"/>
      <c r="BE11" s="854"/>
      <c r="BG11" s="854"/>
      <c r="BH11" s="854"/>
    </row>
    <row r="12" spans="1:60">
      <c r="A12" s="848">
        <v>555</v>
      </c>
      <c r="B12" s="853" t="s">
        <v>424</v>
      </c>
      <c r="C12" s="850">
        <v>449217.67730999494</v>
      </c>
      <c r="D12" s="851">
        <v>374097.46881529503</v>
      </c>
      <c r="E12" s="851">
        <v>199306.402611495</v>
      </c>
      <c r="F12" s="852">
        <v>283262.667487895</v>
      </c>
      <c r="G12" s="853"/>
      <c r="H12" s="851">
        <f t="shared" si="0"/>
        <v>165955.00982209994</v>
      </c>
      <c r="I12" s="853"/>
      <c r="BE12" s="854"/>
      <c r="BG12" s="854"/>
      <c r="BH12" s="854"/>
    </row>
    <row r="13" spans="1:60">
      <c r="A13" s="848">
        <v>447</v>
      </c>
      <c r="B13" s="853" t="s">
        <v>425</v>
      </c>
      <c r="C13" s="850">
        <v>-202982.35780100001</v>
      </c>
      <c r="D13" s="851">
        <v>-159105.13090699998</v>
      </c>
      <c r="E13" s="851">
        <v>-145202.57301579998</v>
      </c>
      <c r="F13" s="852">
        <v>-128535.20191999999</v>
      </c>
      <c r="G13" s="853"/>
      <c r="H13" s="851">
        <f t="shared" si="0"/>
        <v>-74447.155881000013</v>
      </c>
      <c r="I13" s="853"/>
      <c r="BE13" s="854"/>
      <c r="BG13" s="854"/>
      <c r="BH13" s="854"/>
    </row>
    <row r="14" spans="1:60">
      <c r="A14" s="855">
        <v>565</v>
      </c>
      <c r="B14" s="853" t="s">
        <v>426</v>
      </c>
      <c r="C14" s="850">
        <v>135104.27079105316</v>
      </c>
      <c r="D14" s="851">
        <v>135426.4227128803</v>
      </c>
      <c r="E14" s="851">
        <v>138691.1753194893</v>
      </c>
      <c r="F14" s="852">
        <v>135862.20025238866</v>
      </c>
      <c r="G14" s="853"/>
      <c r="H14" s="851">
        <f t="shared" si="0"/>
        <v>-757.9294613355014</v>
      </c>
      <c r="I14" s="853"/>
      <c r="BE14" s="854"/>
      <c r="BG14" s="854"/>
      <c r="BH14" s="854"/>
    </row>
    <row r="15" spans="1:60">
      <c r="A15" s="855">
        <v>456</v>
      </c>
      <c r="B15" s="853" t="s">
        <v>427</v>
      </c>
      <c r="C15" s="850">
        <v>-131067.69711050199</v>
      </c>
      <c r="D15" s="851">
        <v>-76696.00091492862</v>
      </c>
      <c r="E15" s="851">
        <v>-50408.83015296021</v>
      </c>
      <c r="F15" s="852">
        <v>-43938.971690573824</v>
      </c>
      <c r="G15" s="853"/>
      <c r="H15" s="851">
        <f t="shared" si="0"/>
        <v>-87128.725419928174</v>
      </c>
      <c r="I15" s="853"/>
      <c r="BE15" s="856"/>
    </row>
    <row r="16" spans="1:60" s="859" customFormat="1" ht="15.75" thickBot="1">
      <c r="A16" s="848">
        <v>557</v>
      </c>
      <c r="B16" s="853" t="s">
        <v>428</v>
      </c>
      <c r="C16" s="850">
        <v>16711.586023277483</v>
      </c>
      <c r="D16" s="851">
        <v>17153.94262085393</v>
      </c>
      <c r="E16" s="851">
        <v>17615.53296393442</v>
      </c>
      <c r="F16" s="852">
        <v>16711.586023277483</v>
      </c>
      <c r="G16" s="853"/>
      <c r="H16" s="851">
        <f t="shared" si="0"/>
        <v>0</v>
      </c>
      <c r="I16" s="853"/>
      <c r="J16" s="834"/>
      <c r="K16" s="834"/>
      <c r="L16" s="834"/>
      <c r="M16" s="834"/>
      <c r="N16" s="834"/>
      <c r="O16" s="834"/>
      <c r="P16" s="834"/>
      <c r="Q16" s="834"/>
      <c r="R16" s="834"/>
      <c r="S16" s="834"/>
      <c r="T16" s="834"/>
      <c r="U16" s="834"/>
      <c r="V16" s="834"/>
      <c r="W16" s="834"/>
      <c r="X16" s="834"/>
      <c r="Y16" s="834"/>
      <c r="Z16" s="834"/>
      <c r="AA16" s="834"/>
      <c r="AB16" s="834"/>
      <c r="AC16" s="834"/>
      <c r="AD16" s="834"/>
      <c r="AE16" s="834"/>
      <c r="AF16" s="834"/>
      <c r="AG16" s="834"/>
      <c r="AH16" s="834"/>
      <c r="AI16" s="834"/>
      <c r="AJ16" s="834"/>
      <c r="AK16" s="834"/>
      <c r="AL16" s="834"/>
      <c r="AM16" s="834"/>
      <c r="AN16" s="834"/>
      <c r="AO16" s="834"/>
      <c r="AP16" s="834"/>
      <c r="AQ16" s="834"/>
      <c r="AR16" s="834"/>
      <c r="AS16" s="834"/>
      <c r="AT16" s="834"/>
      <c r="AU16" s="834"/>
      <c r="AV16" s="834"/>
      <c r="AW16" s="834"/>
      <c r="AX16" s="834"/>
      <c r="AY16" s="834"/>
      <c r="AZ16" s="834"/>
      <c r="BA16" s="834"/>
      <c r="BB16" s="834"/>
      <c r="BC16" s="834"/>
      <c r="BD16" s="834"/>
      <c r="BE16" s="857"/>
      <c r="BF16" s="858"/>
      <c r="BG16" s="857"/>
      <c r="BH16" s="857"/>
    </row>
    <row r="17" spans="1:56" ht="15.75" thickTop="1">
      <c r="A17" s="848"/>
      <c r="B17" s="860" t="s">
        <v>429</v>
      </c>
      <c r="C17" s="861">
        <f>SUM(C7:C16)</f>
        <v>1068820.6244049822</v>
      </c>
      <c r="D17" s="862">
        <f>SUM(D7:D16)</f>
        <v>1115343.7505990653</v>
      </c>
      <c r="E17" s="862">
        <f>SUM(E7:E16)</f>
        <v>1073708.4629182015</v>
      </c>
      <c r="F17" s="863">
        <f>SUM(F7:F16)</f>
        <v>902369.76794783259</v>
      </c>
      <c r="G17" s="860"/>
      <c r="H17" s="864">
        <f>SUM(H7:H16)</f>
        <v>166450.85645714987</v>
      </c>
      <c r="I17" s="860"/>
    </row>
    <row r="18" spans="1:56" ht="10.35" customHeight="1">
      <c r="A18" s="848"/>
      <c r="B18" s="853"/>
      <c r="C18" s="865"/>
      <c r="D18" s="866"/>
      <c r="E18" s="866"/>
      <c r="F18" s="867"/>
      <c r="G18" s="853"/>
      <c r="H18" s="868"/>
      <c r="I18" s="853"/>
    </row>
    <row r="19" spans="1:56">
      <c r="A19" s="869"/>
      <c r="B19" s="870" t="s">
        <v>549</v>
      </c>
      <c r="C19" s="871">
        <v>21489772.975280751</v>
      </c>
      <c r="D19" s="871">
        <v>21697589.934758965</v>
      </c>
      <c r="E19" s="871">
        <v>21273073.961387198</v>
      </c>
      <c r="F19" s="872">
        <v>20803205.018951166</v>
      </c>
      <c r="G19" s="870"/>
      <c r="H19" s="873">
        <f t="shared" ref="H19" si="1">C19-F19</f>
        <v>686567.95632958412</v>
      </c>
      <c r="I19" s="870"/>
    </row>
    <row r="20" spans="1:56">
      <c r="C20" s="874"/>
      <c r="D20" s="874"/>
      <c r="E20" s="874"/>
      <c r="F20" s="875"/>
    </row>
    <row r="21" spans="1:56" s="835" customFormat="1" ht="13.5" customHeight="1">
      <c r="A21" s="876" t="s">
        <v>1373</v>
      </c>
      <c r="C21" s="877"/>
      <c r="D21" s="877"/>
      <c r="E21" s="877"/>
      <c r="F21" s="877"/>
      <c r="J21" s="834"/>
      <c r="K21" s="834"/>
      <c r="L21" s="834"/>
      <c r="M21" s="834"/>
      <c r="N21" s="834"/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  <c r="AC21" s="834"/>
      <c r="AD21" s="834"/>
      <c r="AE21" s="834"/>
      <c r="AF21" s="834"/>
      <c r="AG21" s="834"/>
      <c r="AH21" s="834"/>
      <c r="AI21" s="834"/>
      <c r="AJ21" s="834"/>
      <c r="AK21" s="834"/>
      <c r="AL21" s="834"/>
      <c r="AM21" s="834"/>
      <c r="AN21" s="834"/>
      <c r="AO21" s="834"/>
      <c r="AP21" s="834"/>
      <c r="AQ21" s="834"/>
      <c r="AR21" s="834"/>
      <c r="AS21" s="834"/>
      <c r="AT21" s="834"/>
      <c r="AU21" s="834"/>
      <c r="AV21" s="834"/>
      <c r="AW21" s="834"/>
      <c r="AX21" s="834"/>
      <c r="AY21" s="834"/>
      <c r="AZ21" s="834"/>
      <c r="BA21" s="834"/>
      <c r="BB21" s="834"/>
      <c r="BC21" s="834"/>
      <c r="BD21" s="834"/>
    </row>
    <row r="22" spans="1:56" s="835" customFormat="1" ht="13.5" customHeight="1">
      <c r="A22" s="878" t="s">
        <v>1463</v>
      </c>
      <c r="C22" s="879"/>
      <c r="D22" s="879"/>
      <c r="E22" s="879"/>
      <c r="F22" s="877"/>
      <c r="J22" s="834"/>
      <c r="K22" s="834"/>
      <c r="L22" s="834"/>
      <c r="M22" s="834"/>
      <c r="N22" s="834"/>
      <c r="O22" s="834"/>
      <c r="P22" s="834"/>
      <c r="Q22" s="834"/>
      <c r="R22" s="834"/>
      <c r="S22" s="834"/>
      <c r="T22" s="834"/>
      <c r="U22" s="834"/>
      <c r="V22" s="834"/>
      <c r="W22" s="834"/>
      <c r="X22" s="834"/>
      <c r="Y22" s="834"/>
      <c r="Z22" s="834"/>
      <c r="AA22" s="834"/>
      <c r="AB22" s="834"/>
      <c r="AC22" s="834"/>
      <c r="AD22" s="834"/>
      <c r="AE22" s="834"/>
      <c r="AF22" s="834"/>
      <c r="AG22" s="834"/>
      <c r="AH22" s="834"/>
      <c r="AI22" s="834"/>
      <c r="AJ22" s="834"/>
      <c r="AK22" s="834"/>
      <c r="AL22" s="834"/>
      <c r="AM22" s="834"/>
      <c r="AN22" s="834"/>
      <c r="AO22" s="834"/>
      <c r="AP22" s="834"/>
      <c r="AQ22" s="834"/>
      <c r="AR22" s="834"/>
      <c r="AS22" s="834"/>
      <c r="AT22" s="834"/>
      <c r="AU22" s="834"/>
      <c r="AV22" s="834"/>
      <c r="AW22" s="834"/>
      <c r="AX22" s="834"/>
      <c r="AY22" s="834"/>
      <c r="AZ22" s="834"/>
      <c r="BA22" s="834"/>
      <c r="BB22" s="834"/>
      <c r="BC22" s="834"/>
      <c r="BD22" s="834"/>
    </row>
    <row r="23" spans="1:56" s="835" customFormat="1" ht="13.5" customHeight="1">
      <c r="A23" s="880"/>
      <c r="B23" s="881"/>
      <c r="C23" s="882"/>
      <c r="D23" s="882"/>
      <c r="E23" s="882"/>
      <c r="F23" s="877"/>
      <c r="G23" s="881"/>
      <c r="H23" s="881"/>
      <c r="I23" s="881"/>
      <c r="J23" s="834"/>
      <c r="K23" s="834"/>
      <c r="L23" s="834"/>
      <c r="M23" s="834"/>
      <c r="N23" s="834"/>
      <c r="O23" s="834"/>
      <c r="P23" s="834"/>
      <c r="Q23" s="834"/>
      <c r="R23" s="834"/>
      <c r="S23" s="834"/>
      <c r="T23" s="834"/>
      <c r="U23" s="834"/>
      <c r="V23" s="834"/>
      <c r="W23" s="834"/>
      <c r="X23" s="834"/>
      <c r="Y23" s="834"/>
      <c r="Z23" s="834"/>
      <c r="AA23" s="834"/>
      <c r="AB23" s="834"/>
      <c r="AC23" s="834"/>
      <c r="AD23" s="834"/>
      <c r="AE23" s="834"/>
      <c r="AF23" s="834"/>
      <c r="AG23" s="834"/>
      <c r="AH23" s="834"/>
      <c r="AI23" s="834"/>
      <c r="AJ23" s="834"/>
      <c r="AK23" s="834"/>
      <c r="AL23" s="834"/>
      <c r="AM23" s="834"/>
      <c r="AN23" s="834"/>
      <c r="AO23" s="834"/>
      <c r="AP23" s="834"/>
      <c r="AQ23" s="834"/>
      <c r="AR23" s="834"/>
      <c r="AS23" s="834"/>
      <c r="AT23" s="834"/>
      <c r="AU23" s="834"/>
      <c r="AV23" s="834"/>
      <c r="AW23" s="834"/>
      <c r="AX23" s="834"/>
      <c r="AY23" s="834"/>
      <c r="AZ23" s="834"/>
      <c r="BA23" s="834"/>
      <c r="BB23" s="834"/>
      <c r="BC23" s="834"/>
      <c r="BD23" s="834"/>
    </row>
    <row r="24" spans="1:56" s="835" customFormat="1" ht="13.5" customHeight="1">
      <c r="A24" s="880"/>
      <c r="B24" s="881"/>
      <c r="C24" s="877"/>
      <c r="D24" s="877"/>
      <c r="E24" s="877"/>
      <c r="F24" s="877"/>
      <c r="G24" s="881"/>
      <c r="H24" s="881"/>
      <c r="I24" s="881"/>
      <c r="J24" s="834"/>
      <c r="K24" s="834"/>
      <c r="L24" s="834"/>
      <c r="M24" s="834"/>
      <c r="N24" s="834"/>
      <c r="O24" s="834"/>
      <c r="P24" s="834"/>
      <c r="Q24" s="834"/>
      <c r="R24" s="834"/>
      <c r="S24" s="834"/>
      <c r="T24" s="834"/>
      <c r="U24" s="834"/>
      <c r="V24" s="834"/>
      <c r="W24" s="834"/>
      <c r="X24" s="834"/>
      <c r="Y24" s="834"/>
      <c r="Z24" s="834"/>
      <c r="AA24" s="834"/>
      <c r="AB24" s="834"/>
      <c r="AC24" s="834"/>
      <c r="AD24" s="834"/>
      <c r="AE24" s="834"/>
      <c r="AF24" s="834"/>
      <c r="AG24" s="834"/>
      <c r="AH24" s="834"/>
      <c r="AI24" s="834"/>
      <c r="AJ24" s="834"/>
      <c r="AK24" s="834"/>
      <c r="AL24" s="834"/>
      <c r="AM24" s="834"/>
      <c r="AN24" s="834"/>
      <c r="AO24" s="834"/>
      <c r="AP24" s="834"/>
      <c r="AQ24" s="834"/>
      <c r="AR24" s="834"/>
      <c r="AS24" s="834"/>
      <c r="AT24" s="834"/>
      <c r="AU24" s="834"/>
      <c r="AV24" s="834"/>
      <c r="AW24" s="834"/>
      <c r="AX24" s="834"/>
      <c r="AY24" s="834"/>
      <c r="AZ24" s="834"/>
      <c r="BA24" s="834"/>
      <c r="BB24" s="834"/>
      <c r="BC24" s="834"/>
      <c r="BD24" s="834"/>
    </row>
    <row r="25" spans="1:56" s="835" customFormat="1" ht="13.5" customHeight="1">
      <c r="A25" s="880"/>
      <c r="B25" s="881"/>
      <c r="C25" s="877"/>
      <c r="D25" s="877"/>
      <c r="E25" s="877"/>
      <c r="F25" s="877"/>
      <c r="G25" s="881"/>
      <c r="H25" s="881"/>
      <c r="I25" s="881"/>
      <c r="J25" s="834"/>
      <c r="K25" s="834"/>
      <c r="L25" s="834"/>
      <c r="M25" s="834"/>
      <c r="N25" s="834"/>
      <c r="O25" s="834"/>
      <c r="P25" s="834"/>
      <c r="Q25" s="834"/>
      <c r="R25" s="834"/>
      <c r="S25" s="834"/>
      <c r="T25" s="834"/>
      <c r="U25" s="834"/>
      <c r="V25" s="834"/>
      <c r="W25" s="834"/>
      <c r="X25" s="834"/>
      <c r="Y25" s="834"/>
      <c r="Z25" s="834"/>
      <c r="AA25" s="834"/>
      <c r="AB25" s="834"/>
      <c r="AC25" s="834"/>
      <c r="AD25" s="834"/>
      <c r="AE25" s="834"/>
      <c r="AF25" s="834"/>
      <c r="AG25" s="834"/>
      <c r="AH25" s="834"/>
      <c r="AI25" s="834"/>
      <c r="AJ25" s="834"/>
      <c r="AK25" s="834"/>
      <c r="AL25" s="834"/>
      <c r="AM25" s="834"/>
      <c r="AN25" s="834"/>
      <c r="AO25" s="834"/>
      <c r="AP25" s="834"/>
      <c r="AQ25" s="834"/>
      <c r="AR25" s="834"/>
      <c r="AS25" s="834"/>
      <c r="AT25" s="834"/>
      <c r="AU25" s="834"/>
      <c r="AV25" s="834"/>
      <c r="AW25" s="834"/>
      <c r="AX25" s="834"/>
      <c r="AY25" s="834"/>
      <c r="AZ25" s="834"/>
      <c r="BA25" s="834"/>
      <c r="BB25" s="834"/>
      <c r="BC25" s="834"/>
      <c r="BD25" s="834"/>
    </row>
    <row r="26" spans="1:56" s="835" customFormat="1" ht="13.5" customHeight="1">
      <c r="A26" s="880"/>
      <c r="B26" s="881"/>
      <c r="C26" s="877"/>
      <c r="D26" s="877"/>
      <c r="E26" s="877"/>
      <c r="F26" s="877"/>
      <c r="G26" s="881"/>
      <c r="H26" s="881"/>
      <c r="I26" s="881"/>
      <c r="J26" s="834"/>
      <c r="K26" s="834"/>
      <c r="L26" s="834"/>
      <c r="M26" s="834"/>
      <c r="N26" s="834"/>
      <c r="O26" s="834"/>
      <c r="P26" s="834"/>
      <c r="Q26" s="834"/>
      <c r="R26" s="834"/>
      <c r="S26" s="834"/>
      <c r="T26" s="834"/>
      <c r="U26" s="834"/>
      <c r="V26" s="834"/>
      <c r="W26" s="834"/>
      <c r="X26" s="834"/>
      <c r="Y26" s="834"/>
      <c r="Z26" s="834"/>
      <c r="AA26" s="834"/>
      <c r="AB26" s="834"/>
      <c r="AC26" s="834"/>
      <c r="AD26" s="834"/>
      <c r="AE26" s="834"/>
      <c r="AF26" s="834"/>
      <c r="AG26" s="834"/>
      <c r="AH26" s="834"/>
      <c r="AI26" s="834"/>
      <c r="AJ26" s="834"/>
      <c r="AK26" s="834"/>
      <c r="AL26" s="834"/>
      <c r="AM26" s="834"/>
      <c r="AN26" s="834"/>
      <c r="AO26" s="834"/>
      <c r="AP26" s="834"/>
      <c r="AQ26" s="834"/>
      <c r="AR26" s="834"/>
      <c r="AS26" s="834"/>
      <c r="AT26" s="834"/>
      <c r="AU26" s="834"/>
      <c r="AV26" s="834"/>
      <c r="AW26" s="834"/>
      <c r="AX26" s="834"/>
      <c r="AY26" s="834"/>
      <c r="AZ26" s="834"/>
      <c r="BA26" s="834"/>
      <c r="BB26" s="834"/>
      <c r="BC26" s="834"/>
      <c r="BD26" s="834"/>
    </row>
    <row r="27" spans="1:56" s="835" customFormat="1" ht="13.5" customHeight="1">
      <c r="A27" s="880"/>
      <c r="B27" s="881"/>
      <c r="C27" s="877"/>
      <c r="D27" s="877"/>
      <c r="E27" s="877"/>
      <c r="F27" s="883"/>
      <c r="G27" s="881"/>
      <c r="H27" s="881"/>
      <c r="I27" s="881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4"/>
      <c r="V27" s="834"/>
      <c r="W27" s="834"/>
      <c r="X27" s="834"/>
      <c r="Y27" s="834"/>
      <c r="Z27" s="834"/>
      <c r="AA27" s="834"/>
      <c r="AB27" s="834"/>
      <c r="AC27" s="834"/>
      <c r="AD27" s="834"/>
      <c r="AE27" s="834"/>
      <c r="AF27" s="834"/>
      <c r="AG27" s="834"/>
      <c r="AH27" s="834"/>
      <c r="AI27" s="834"/>
      <c r="AJ27" s="834"/>
      <c r="AK27" s="834"/>
      <c r="AL27" s="834"/>
      <c r="AM27" s="834"/>
      <c r="AN27" s="834"/>
      <c r="AO27" s="834"/>
      <c r="AP27" s="834"/>
      <c r="AQ27" s="834"/>
      <c r="AR27" s="834"/>
      <c r="AS27" s="834"/>
      <c r="AT27" s="834"/>
      <c r="AU27" s="834"/>
      <c r="AV27" s="834"/>
      <c r="AW27" s="834"/>
      <c r="AX27" s="834"/>
      <c r="AY27" s="834"/>
      <c r="AZ27" s="834"/>
      <c r="BA27" s="834"/>
      <c r="BB27" s="834"/>
      <c r="BC27" s="834"/>
      <c r="BD27" s="834"/>
    </row>
    <row r="28" spans="1:56" s="835" customFormat="1" ht="13.5" customHeight="1">
      <c r="A28" s="880"/>
      <c r="B28" s="881"/>
      <c r="C28" s="879"/>
      <c r="D28" s="879"/>
      <c r="E28" s="879"/>
      <c r="F28" s="883"/>
      <c r="G28" s="881"/>
      <c r="H28" s="881"/>
      <c r="I28" s="881"/>
      <c r="J28" s="834"/>
      <c r="K28" s="834"/>
      <c r="L28" s="834"/>
      <c r="M28" s="834"/>
      <c r="N28" s="834"/>
      <c r="O28" s="834"/>
      <c r="P28" s="834"/>
      <c r="Q28" s="834"/>
      <c r="R28" s="834"/>
      <c r="S28" s="834"/>
      <c r="T28" s="834"/>
      <c r="U28" s="834"/>
      <c r="V28" s="834"/>
      <c r="W28" s="834"/>
      <c r="X28" s="834"/>
      <c r="Y28" s="834"/>
      <c r="Z28" s="834"/>
      <c r="AA28" s="834"/>
      <c r="AB28" s="834"/>
      <c r="AC28" s="834"/>
      <c r="AD28" s="834"/>
      <c r="AE28" s="834"/>
      <c r="AF28" s="834"/>
      <c r="AG28" s="834"/>
      <c r="AH28" s="834"/>
      <c r="AI28" s="834"/>
      <c r="AJ28" s="834"/>
      <c r="AK28" s="834"/>
      <c r="AL28" s="834"/>
      <c r="AM28" s="834"/>
      <c r="AN28" s="834"/>
      <c r="AO28" s="834"/>
      <c r="AP28" s="834"/>
      <c r="AQ28" s="834"/>
      <c r="AR28" s="834"/>
      <c r="AS28" s="834"/>
      <c r="AT28" s="834"/>
      <c r="AU28" s="834"/>
      <c r="AV28" s="834"/>
      <c r="AW28" s="834"/>
      <c r="AX28" s="834"/>
      <c r="AY28" s="834"/>
      <c r="AZ28" s="834"/>
      <c r="BA28" s="834"/>
      <c r="BB28" s="834"/>
      <c r="BC28" s="834"/>
      <c r="BD28" s="834"/>
    </row>
    <row r="29" spans="1:56" s="835" customFormat="1">
      <c r="A29" s="876"/>
      <c r="B29" s="881"/>
      <c r="C29" s="877"/>
      <c r="D29" s="877"/>
      <c r="E29" s="877"/>
      <c r="F29" s="883"/>
      <c r="G29" s="881"/>
      <c r="H29" s="881"/>
      <c r="I29" s="881"/>
      <c r="J29" s="834"/>
      <c r="K29" s="834"/>
      <c r="L29" s="834"/>
      <c r="M29" s="834"/>
      <c r="N29" s="834"/>
      <c r="O29" s="834"/>
      <c r="P29" s="834"/>
      <c r="Q29" s="834"/>
      <c r="R29" s="834"/>
      <c r="S29" s="834"/>
      <c r="T29" s="834"/>
      <c r="U29" s="834"/>
      <c r="V29" s="834"/>
      <c r="W29" s="834"/>
      <c r="X29" s="834"/>
      <c r="Y29" s="834"/>
      <c r="Z29" s="834"/>
      <c r="AA29" s="834"/>
      <c r="AB29" s="834"/>
      <c r="AC29" s="834"/>
      <c r="AD29" s="834"/>
      <c r="AE29" s="834"/>
      <c r="AF29" s="834"/>
      <c r="AG29" s="834"/>
      <c r="AH29" s="834"/>
      <c r="AI29" s="834"/>
      <c r="AJ29" s="834"/>
      <c r="AK29" s="834"/>
      <c r="AL29" s="834"/>
      <c r="AM29" s="834"/>
      <c r="AN29" s="834"/>
      <c r="AO29" s="834"/>
      <c r="AP29" s="834"/>
      <c r="AQ29" s="834"/>
      <c r="AR29" s="834"/>
      <c r="AS29" s="834"/>
      <c r="AT29" s="834"/>
      <c r="AU29" s="834"/>
      <c r="AV29" s="834"/>
      <c r="AW29" s="834"/>
      <c r="AX29" s="834"/>
      <c r="AY29" s="834"/>
      <c r="AZ29" s="834"/>
      <c r="BA29" s="834"/>
      <c r="BB29" s="834"/>
      <c r="BC29" s="834"/>
      <c r="BD29" s="834"/>
    </row>
    <row r="30" spans="1:56" s="835" customFormat="1">
      <c r="A30" s="884"/>
      <c r="B30" s="884"/>
      <c r="C30" s="877"/>
      <c r="D30" s="877"/>
      <c r="E30" s="877"/>
      <c r="F30" s="883"/>
      <c r="G30" s="884"/>
      <c r="H30" s="884"/>
      <c r="I30" s="88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  <c r="AB30" s="834"/>
      <c r="AC30" s="834"/>
      <c r="AD30" s="834"/>
      <c r="AE30" s="834"/>
      <c r="AF30" s="834"/>
      <c r="AG30" s="834"/>
      <c r="AH30" s="834"/>
      <c r="AI30" s="834"/>
      <c r="AJ30" s="834"/>
      <c r="AK30" s="834"/>
      <c r="AL30" s="834"/>
      <c r="AM30" s="834"/>
      <c r="AN30" s="834"/>
      <c r="AO30" s="834"/>
      <c r="AP30" s="834"/>
      <c r="AQ30" s="834"/>
      <c r="AR30" s="834"/>
      <c r="AS30" s="834"/>
      <c r="AT30" s="834"/>
      <c r="AU30" s="834"/>
      <c r="AV30" s="834"/>
      <c r="AW30" s="834"/>
      <c r="AX30" s="834"/>
      <c r="AY30" s="834"/>
      <c r="AZ30" s="834"/>
      <c r="BA30" s="834"/>
      <c r="BB30" s="834"/>
      <c r="BC30" s="834"/>
      <c r="BD30" s="834"/>
    </row>
    <row r="31" spans="1:56" s="835" customFormat="1">
      <c r="A31" s="876"/>
      <c r="B31" s="881"/>
      <c r="C31" s="877"/>
      <c r="D31" s="877"/>
      <c r="E31" s="877"/>
      <c r="F31" s="883"/>
      <c r="G31" s="881"/>
      <c r="H31" s="881"/>
      <c r="I31" s="881"/>
      <c r="J31" s="834"/>
      <c r="K31" s="834"/>
      <c r="L31" s="834"/>
      <c r="M31" s="834"/>
      <c r="N31" s="834"/>
      <c r="O31" s="834"/>
      <c r="P31" s="834"/>
      <c r="Q31" s="834"/>
      <c r="R31" s="834"/>
      <c r="S31" s="834"/>
      <c r="T31" s="834"/>
      <c r="U31" s="834"/>
      <c r="V31" s="834"/>
      <c r="W31" s="834"/>
      <c r="X31" s="834"/>
      <c r="Y31" s="834"/>
      <c r="Z31" s="834"/>
      <c r="AA31" s="834"/>
      <c r="AB31" s="834"/>
      <c r="AC31" s="834"/>
      <c r="AD31" s="834"/>
      <c r="AE31" s="834"/>
      <c r="AF31" s="834"/>
      <c r="AG31" s="834"/>
      <c r="AH31" s="834"/>
      <c r="AI31" s="834"/>
      <c r="AJ31" s="834"/>
      <c r="AK31" s="834"/>
      <c r="AL31" s="834"/>
      <c r="AM31" s="834"/>
      <c r="AN31" s="834"/>
      <c r="AO31" s="834"/>
      <c r="AP31" s="834"/>
      <c r="AQ31" s="834"/>
      <c r="AR31" s="834"/>
      <c r="AS31" s="834"/>
      <c r="AT31" s="834"/>
      <c r="AU31" s="834"/>
      <c r="AV31" s="834"/>
      <c r="AW31" s="834"/>
      <c r="AX31" s="834"/>
      <c r="AY31" s="834"/>
      <c r="AZ31" s="834"/>
      <c r="BA31" s="834"/>
      <c r="BB31" s="834"/>
      <c r="BC31" s="834"/>
      <c r="BD31" s="834"/>
    </row>
    <row r="32" spans="1:56" s="835" customFormat="1">
      <c r="A32" s="884"/>
      <c r="B32" s="884"/>
      <c r="C32" s="877"/>
      <c r="D32" s="877"/>
      <c r="E32" s="877"/>
      <c r="F32" s="883"/>
      <c r="G32" s="884"/>
      <c r="H32" s="884"/>
      <c r="I32" s="88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  <c r="AB32" s="834"/>
      <c r="AC32" s="834"/>
      <c r="AD32" s="834"/>
      <c r="AE32" s="834"/>
      <c r="AF32" s="834"/>
      <c r="AG32" s="834"/>
      <c r="AH32" s="834"/>
      <c r="AI32" s="834"/>
      <c r="AJ32" s="834"/>
      <c r="AK32" s="834"/>
      <c r="AL32" s="834"/>
      <c r="AM32" s="834"/>
      <c r="AN32" s="834"/>
      <c r="AO32" s="834"/>
      <c r="AP32" s="834"/>
      <c r="AQ32" s="834"/>
      <c r="AR32" s="834"/>
      <c r="AS32" s="834"/>
      <c r="AT32" s="834"/>
      <c r="AU32" s="834"/>
      <c r="AV32" s="834"/>
      <c r="AW32" s="834"/>
      <c r="AX32" s="834"/>
      <c r="AY32" s="834"/>
      <c r="AZ32" s="834"/>
      <c r="BA32" s="834"/>
      <c r="BB32" s="834"/>
      <c r="BC32" s="834"/>
      <c r="BD32" s="834"/>
    </row>
    <row r="33" spans="1:56" s="835" customFormat="1">
      <c r="A33" s="884"/>
      <c r="B33" s="884"/>
      <c r="C33" s="877"/>
      <c r="D33" s="877"/>
      <c r="E33" s="877"/>
      <c r="F33" s="883"/>
      <c r="G33" s="884"/>
      <c r="H33" s="884"/>
      <c r="I33" s="884"/>
      <c r="J33" s="834"/>
      <c r="K33" s="834"/>
      <c r="L33" s="834"/>
      <c r="M33" s="834"/>
      <c r="N33" s="834"/>
      <c r="O33" s="834"/>
      <c r="P33" s="834"/>
      <c r="Q33" s="834"/>
      <c r="R33" s="834"/>
      <c r="S33" s="834"/>
      <c r="T33" s="834"/>
      <c r="U33" s="834"/>
      <c r="V33" s="834"/>
      <c r="W33" s="834"/>
      <c r="X33" s="834"/>
      <c r="Y33" s="834"/>
      <c r="Z33" s="834"/>
      <c r="AA33" s="834"/>
      <c r="AB33" s="834"/>
      <c r="AC33" s="834"/>
      <c r="AD33" s="834"/>
      <c r="AE33" s="834"/>
      <c r="AF33" s="834"/>
      <c r="AG33" s="834"/>
      <c r="AH33" s="834"/>
      <c r="AI33" s="834"/>
      <c r="AJ33" s="834"/>
      <c r="AK33" s="834"/>
      <c r="AL33" s="834"/>
      <c r="AM33" s="834"/>
      <c r="AN33" s="834"/>
      <c r="AO33" s="834"/>
      <c r="AP33" s="834"/>
      <c r="AQ33" s="834"/>
      <c r="AR33" s="834"/>
      <c r="AS33" s="834"/>
      <c r="AT33" s="834"/>
      <c r="AU33" s="834"/>
      <c r="AV33" s="834"/>
      <c r="AW33" s="834"/>
      <c r="AX33" s="834"/>
      <c r="AY33" s="834"/>
      <c r="AZ33" s="834"/>
      <c r="BA33" s="834"/>
      <c r="BB33" s="834"/>
      <c r="BC33" s="834"/>
      <c r="BD33" s="834"/>
    </row>
    <row r="34" spans="1:56" s="835" customFormat="1" ht="18.75">
      <c r="A34" s="876"/>
      <c r="B34" s="885"/>
      <c r="C34" s="877"/>
      <c r="D34" s="877"/>
      <c r="E34" s="877"/>
      <c r="F34" s="883"/>
      <c r="G34" s="885"/>
      <c r="H34" s="885"/>
      <c r="I34" s="885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834"/>
      <c r="AD34" s="834"/>
      <c r="AE34" s="834"/>
      <c r="AF34" s="834"/>
      <c r="AG34" s="834"/>
      <c r="AH34" s="834"/>
      <c r="AI34" s="834"/>
      <c r="AJ34" s="834"/>
      <c r="AK34" s="834"/>
      <c r="AL34" s="834"/>
      <c r="AM34" s="834"/>
      <c r="AN34" s="834"/>
      <c r="AO34" s="834"/>
      <c r="AP34" s="834"/>
      <c r="AQ34" s="834"/>
      <c r="AR34" s="834"/>
      <c r="AS34" s="834"/>
      <c r="AT34" s="834"/>
      <c r="AU34" s="834"/>
      <c r="AV34" s="834"/>
      <c r="AW34" s="834"/>
      <c r="AX34" s="834"/>
      <c r="AY34" s="834"/>
      <c r="AZ34" s="834"/>
      <c r="BA34" s="834"/>
      <c r="BB34" s="834"/>
      <c r="BC34" s="834"/>
      <c r="BD34" s="834"/>
    </row>
    <row r="35" spans="1:56" s="835" customFormat="1">
      <c r="A35" s="877"/>
      <c r="B35" s="877"/>
      <c r="C35" s="877"/>
      <c r="D35" s="877"/>
      <c r="E35" s="877"/>
      <c r="F35" s="883"/>
      <c r="G35" s="877"/>
      <c r="H35" s="877"/>
      <c r="I35" s="877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  <c r="AD35" s="834"/>
      <c r="AE35" s="834"/>
      <c r="AF35" s="834"/>
      <c r="AG35" s="834"/>
      <c r="AH35" s="834"/>
      <c r="AI35" s="834"/>
      <c r="AJ35" s="834"/>
      <c r="AK35" s="834"/>
      <c r="AL35" s="834"/>
      <c r="AM35" s="834"/>
      <c r="AN35" s="834"/>
      <c r="AO35" s="834"/>
      <c r="AP35" s="834"/>
      <c r="AQ35" s="834"/>
      <c r="AR35" s="834"/>
      <c r="AS35" s="834"/>
      <c r="AT35" s="834"/>
      <c r="AU35" s="834"/>
      <c r="AV35" s="834"/>
      <c r="AW35" s="834"/>
      <c r="AX35" s="834"/>
      <c r="AY35" s="834"/>
      <c r="AZ35" s="834"/>
      <c r="BA35" s="834"/>
      <c r="BB35" s="834"/>
      <c r="BC35" s="834"/>
      <c r="BD35" s="834"/>
    </row>
    <row r="36" spans="1:56" s="835" customFormat="1" ht="18.75">
      <c r="A36" s="880"/>
      <c r="B36" s="881"/>
      <c r="C36" s="885"/>
      <c r="D36" s="885"/>
      <c r="E36" s="885"/>
      <c r="F36" s="886"/>
      <c r="G36" s="881"/>
      <c r="H36" s="881"/>
      <c r="I36" s="881"/>
      <c r="J36" s="834"/>
      <c r="K36" s="834"/>
      <c r="L36" s="834"/>
      <c r="M36" s="834"/>
      <c r="N36" s="834"/>
      <c r="O36" s="834"/>
      <c r="P36" s="834"/>
      <c r="Q36" s="834"/>
      <c r="R36" s="834"/>
      <c r="S36" s="834"/>
      <c r="T36" s="834"/>
      <c r="U36" s="834"/>
      <c r="V36" s="834"/>
      <c r="W36" s="834"/>
      <c r="X36" s="834"/>
      <c r="Y36" s="834"/>
      <c r="Z36" s="834"/>
      <c r="AA36" s="834"/>
      <c r="AB36" s="834"/>
      <c r="AC36" s="834"/>
      <c r="AD36" s="834"/>
      <c r="AE36" s="834"/>
      <c r="AF36" s="834"/>
      <c r="AG36" s="834"/>
      <c r="AH36" s="834"/>
      <c r="AI36" s="834"/>
      <c r="AJ36" s="834"/>
      <c r="AK36" s="834"/>
      <c r="AL36" s="834"/>
      <c r="AM36" s="834"/>
      <c r="AN36" s="834"/>
      <c r="AO36" s="834"/>
      <c r="AP36" s="834"/>
      <c r="AQ36" s="834"/>
      <c r="AR36" s="834"/>
      <c r="AS36" s="834"/>
      <c r="AT36" s="834"/>
      <c r="AU36" s="834"/>
      <c r="AV36" s="834"/>
      <c r="AW36" s="834"/>
      <c r="AX36" s="834"/>
      <c r="AY36" s="834"/>
      <c r="AZ36" s="834"/>
      <c r="BA36" s="834"/>
      <c r="BB36" s="834"/>
      <c r="BC36" s="834"/>
      <c r="BD36" s="834"/>
    </row>
    <row r="37" spans="1:56" s="835" customFormat="1">
      <c r="A37" s="880"/>
      <c r="B37" s="881"/>
      <c r="C37" s="877"/>
      <c r="D37" s="877"/>
      <c r="E37" s="877"/>
      <c r="F37" s="886"/>
      <c r="G37" s="881"/>
      <c r="H37" s="881"/>
      <c r="I37" s="881"/>
      <c r="J37" s="834"/>
      <c r="K37" s="834"/>
      <c r="L37" s="834"/>
      <c r="M37" s="834"/>
      <c r="N37" s="834"/>
      <c r="O37" s="834"/>
      <c r="P37" s="834"/>
      <c r="Q37" s="834"/>
      <c r="R37" s="834"/>
      <c r="S37" s="834"/>
      <c r="T37" s="834"/>
      <c r="U37" s="834"/>
      <c r="V37" s="834"/>
      <c r="W37" s="834"/>
      <c r="X37" s="834"/>
      <c r="Y37" s="834"/>
      <c r="Z37" s="834"/>
      <c r="AA37" s="834"/>
      <c r="AB37" s="834"/>
      <c r="AC37" s="834"/>
      <c r="AD37" s="834"/>
      <c r="AE37" s="834"/>
      <c r="AF37" s="834"/>
      <c r="AG37" s="834"/>
      <c r="AH37" s="834"/>
      <c r="AI37" s="834"/>
      <c r="AJ37" s="834"/>
      <c r="AK37" s="834"/>
      <c r="AL37" s="834"/>
      <c r="AM37" s="834"/>
      <c r="AN37" s="834"/>
      <c r="AO37" s="834"/>
      <c r="AP37" s="834"/>
      <c r="AQ37" s="834"/>
      <c r="AR37" s="834"/>
      <c r="AS37" s="834"/>
      <c r="AT37" s="834"/>
      <c r="AU37" s="834"/>
      <c r="AV37" s="834"/>
      <c r="AW37" s="834"/>
      <c r="AX37" s="834"/>
      <c r="AY37" s="834"/>
      <c r="AZ37" s="834"/>
      <c r="BA37" s="834"/>
      <c r="BB37" s="834"/>
      <c r="BC37" s="834"/>
      <c r="BD37" s="834"/>
    </row>
    <row r="38" spans="1:56" s="835" customFormat="1">
      <c r="A38" s="880"/>
      <c r="B38" s="881"/>
      <c r="C38" s="881"/>
      <c r="D38" s="881"/>
      <c r="E38" s="881"/>
      <c r="F38" s="886"/>
      <c r="G38" s="881"/>
      <c r="H38" s="881"/>
      <c r="I38" s="881"/>
      <c r="J38" s="834"/>
      <c r="K38" s="834"/>
      <c r="L38" s="834"/>
      <c r="M38" s="834"/>
      <c r="N38" s="834"/>
      <c r="O38" s="834"/>
      <c r="P38" s="834"/>
      <c r="Q38" s="834"/>
      <c r="R38" s="834"/>
      <c r="S38" s="834"/>
      <c r="T38" s="834"/>
      <c r="U38" s="834"/>
      <c r="V38" s="834"/>
      <c r="W38" s="834"/>
      <c r="X38" s="834"/>
      <c r="Y38" s="834"/>
      <c r="Z38" s="834"/>
      <c r="AA38" s="834"/>
      <c r="AB38" s="834"/>
      <c r="AC38" s="834"/>
      <c r="AD38" s="834"/>
      <c r="AE38" s="834"/>
      <c r="AF38" s="834"/>
      <c r="AG38" s="834"/>
      <c r="AH38" s="834"/>
      <c r="AI38" s="834"/>
      <c r="AJ38" s="834"/>
      <c r="AK38" s="834"/>
      <c r="AL38" s="834"/>
      <c r="AM38" s="834"/>
      <c r="AN38" s="834"/>
      <c r="AO38" s="834"/>
      <c r="AP38" s="834"/>
      <c r="AQ38" s="834"/>
      <c r="AR38" s="834"/>
      <c r="AS38" s="834"/>
      <c r="AT38" s="834"/>
      <c r="AU38" s="834"/>
      <c r="AV38" s="834"/>
      <c r="AW38" s="834"/>
      <c r="AX38" s="834"/>
      <c r="AY38" s="834"/>
      <c r="AZ38" s="834"/>
      <c r="BA38" s="834"/>
      <c r="BB38" s="834"/>
      <c r="BC38" s="834"/>
      <c r="BD38" s="834"/>
    </row>
    <row r="39" spans="1:56" s="835" customFormat="1">
      <c r="A39" s="880"/>
      <c r="B39" s="881"/>
      <c r="C39" s="881"/>
      <c r="D39" s="881"/>
      <c r="E39" s="881"/>
      <c r="F39" s="886"/>
      <c r="G39" s="881"/>
      <c r="H39" s="881"/>
      <c r="I39" s="881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4"/>
      <c r="AC39" s="834"/>
      <c r="AD39" s="834"/>
      <c r="AE39" s="834"/>
      <c r="AF39" s="834"/>
      <c r="AG39" s="834"/>
      <c r="AH39" s="834"/>
      <c r="AI39" s="834"/>
      <c r="AJ39" s="834"/>
      <c r="AK39" s="834"/>
      <c r="AL39" s="834"/>
      <c r="AM39" s="834"/>
      <c r="AN39" s="834"/>
      <c r="AO39" s="834"/>
      <c r="AP39" s="834"/>
      <c r="AQ39" s="834"/>
      <c r="AR39" s="834"/>
      <c r="AS39" s="834"/>
      <c r="AT39" s="834"/>
      <c r="AU39" s="834"/>
      <c r="AV39" s="834"/>
      <c r="AW39" s="834"/>
      <c r="AX39" s="834"/>
      <c r="AY39" s="834"/>
      <c r="AZ39" s="834"/>
      <c r="BA39" s="834"/>
      <c r="BB39" s="834"/>
      <c r="BC39" s="834"/>
      <c r="BD39" s="834"/>
    </row>
    <row r="40" spans="1:56" s="835" customFormat="1">
      <c r="A40" s="880"/>
      <c r="B40" s="881"/>
      <c r="C40" s="881"/>
      <c r="D40" s="881"/>
      <c r="E40" s="881"/>
      <c r="F40" s="886"/>
      <c r="G40" s="881"/>
      <c r="H40" s="881"/>
      <c r="I40" s="881"/>
      <c r="J40" s="834"/>
      <c r="K40" s="834"/>
      <c r="L40" s="834"/>
      <c r="M40" s="834"/>
      <c r="N40" s="834"/>
      <c r="O40" s="834"/>
      <c r="P40" s="834"/>
      <c r="Q40" s="834"/>
      <c r="R40" s="834"/>
      <c r="S40" s="834"/>
      <c r="T40" s="834"/>
      <c r="U40" s="834"/>
      <c r="V40" s="834"/>
      <c r="W40" s="834"/>
      <c r="X40" s="834"/>
      <c r="Y40" s="834"/>
      <c r="Z40" s="834"/>
      <c r="AA40" s="834"/>
      <c r="AB40" s="834"/>
      <c r="AC40" s="834"/>
      <c r="AD40" s="834"/>
      <c r="AE40" s="834"/>
      <c r="AF40" s="834"/>
      <c r="AG40" s="834"/>
      <c r="AH40" s="834"/>
      <c r="AI40" s="834"/>
      <c r="AJ40" s="834"/>
      <c r="AK40" s="834"/>
      <c r="AL40" s="834"/>
      <c r="AM40" s="834"/>
      <c r="AN40" s="834"/>
      <c r="AO40" s="834"/>
      <c r="AP40" s="834"/>
      <c r="AQ40" s="834"/>
      <c r="AR40" s="834"/>
      <c r="AS40" s="834"/>
      <c r="AT40" s="834"/>
      <c r="AU40" s="834"/>
      <c r="AV40" s="834"/>
      <c r="AW40" s="834"/>
      <c r="AX40" s="834"/>
      <c r="AY40" s="834"/>
      <c r="AZ40" s="834"/>
      <c r="BA40" s="834"/>
      <c r="BB40" s="834"/>
      <c r="BC40" s="834"/>
      <c r="BD40" s="834"/>
    </row>
    <row r="41" spans="1:56" s="835" customFormat="1">
      <c r="A41" s="880"/>
      <c r="B41" s="881"/>
      <c r="C41" s="881"/>
      <c r="D41" s="881"/>
      <c r="E41" s="881"/>
      <c r="F41" s="886"/>
      <c r="G41" s="881"/>
      <c r="H41" s="881"/>
      <c r="I41" s="881"/>
      <c r="J41" s="834"/>
      <c r="K41" s="834"/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4"/>
      <c r="Y41" s="834"/>
      <c r="Z41" s="834"/>
      <c r="AA41" s="834"/>
      <c r="AB41" s="834"/>
      <c r="AC41" s="834"/>
      <c r="AD41" s="834"/>
      <c r="AE41" s="834"/>
      <c r="AF41" s="834"/>
      <c r="AG41" s="834"/>
      <c r="AH41" s="834"/>
      <c r="AI41" s="834"/>
      <c r="AJ41" s="834"/>
      <c r="AK41" s="834"/>
      <c r="AL41" s="834"/>
      <c r="AM41" s="834"/>
      <c r="AN41" s="834"/>
      <c r="AO41" s="834"/>
      <c r="AP41" s="834"/>
      <c r="AQ41" s="834"/>
      <c r="AR41" s="834"/>
      <c r="AS41" s="834"/>
      <c r="AT41" s="834"/>
      <c r="AU41" s="834"/>
      <c r="AV41" s="834"/>
      <c r="AW41" s="834"/>
      <c r="AX41" s="834"/>
      <c r="AY41" s="834"/>
      <c r="AZ41" s="834"/>
      <c r="BA41" s="834"/>
      <c r="BB41" s="834"/>
      <c r="BC41" s="834"/>
      <c r="BD41" s="834"/>
    </row>
    <row r="42" spans="1:56" s="835" customFormat="1">
      <c r="A42" s="880"/>
      <c r="B42" s="881"/>
      <c r="C42" s="881"/>
      <c r="D42" s="881"/>
      <c r="E42" s="881"/>
      <c r="F42" s="886"/>
      <c r="G42" s="881"/>
      <c r="H42" s="881"/>
      <c r="I42" s="881"/>
      <c r="J42" s="834"/>
      <c r="K42" s="834"/>
      <c r="L42" s="834"/>
      <c r="M42" s="834"/>
      <c r="N42" s="834"/>
      <c r="O42" s="834"/>
      <c r="P42" s="834"/>
      <c r="Q42" s="834"/>
      <c r="R42" s="834"/>
      <c r="S42" s="834"/>
      <c r="T42" s="834"/>
      <c r="U42" s="834"/>
      <c r="V42" s="834"/>
      <c r="W42" s="834"/>
      <c r="X42" s="834"/>
      <c r="Y42" s="834"/>
      <c r="Z42" s="834"/>
      <c r="AA42" s="834"/>
      <c r="AB42" s="834"/>
      <c r="AC42" s="834"/>
      <c r="AD42" s="834"/>
      <c r="AE42" s="834"/>
      <c r="AF42" s="834"/>
      <c r="AG42" s="834"/>
      <c r="AH42" s="834"/>
      <c r="AI42" s="834"/>
      <c r="AJ42" s="834"/>
      <c r="AK42" s="834"/>
      <c r="AL42" s="834"/>
      <c r="AM42" s="834"/>
      <c r="AN42" s="834"/>
      <c r="AO42" s="834"/>
      <c r="AP42" s="834"/>
      <c r="AQ42" s="834"/>
      <c r="AR42" s="834"/>
      <c r="AS42" s="834"/>
      <c r="AT42" s="834"/>
      <c r="AU42" s="834"/>
      <c r="AV42" s="834"/>
      <c r="AW42" s="834"/>
      <c r="AX42" s="834"/>
      <c r="AY42" s="834"/>
      <c r="AZ42" s="834"/>
      <c r="BA42" s="834"/>
      <c r="BB42" s="834"/>
      <c r="BC42" s="834"/>
      <c r="BD42" s="834"/>
    </row>
    <row r="43" spans="1:56" s="835" customFormat="1">
      <c r="A43" s="876"/>
      <c r="B43" s="881"/>
      <c r="C43" s="881"/>
      <c r="D43" s="881"/>
      <c r="E43" s="881"/>
      <c r="F43" s="886"/>
      <c r="G43" s="881"/>
      <c r="H43" s="881"/>
      <c r="I43" s="881"/>
      <c r="J43" s="834"/>
      <c r="K43" s="834"/>
      <c r="L43" s="834"/>
      <c r="M43" s="834"/>
      <c r="N43" s="834"/>
      <c r="O43" s="834"/>
      <c r="P43" s="834"/>
      <c r="Q43" s="834"/>
      <c r="R43" s="834"/>
      <c r="S43" s="834"/>
      <c r="T43" s="834"/>
      <c r="U43" s="834"/>
      <c r="V43" s="834"/>
      <c r="W43" s="834"/>
      <c r="X43" s="834"/>
      <c r="Y43" s="834"/>
      <c r="Z43" s="834"/>
      <c r="AA43" s="834"/>
      <c r="AB43" s="834"/>
      <c r="AC43" s="834"/>
      <c r="AD43" s="834"/>
      <c r="AE43" s="834"/>
      <c r="AF43" s="834"/>
      <c r="AG43" s="834"/>
      <c r="AH43" s="834"/>
      <c r="AI43" s="834"/>
      <c r="AJ43" s="834"/>
      <c r="AK43" s="834"/>
      <c r="AL43" s="834"/>
      <c r="AM43" s="834"/>
      <c r="AN43" s="834"/>
      <c r="AO43" s="834"/>
      <c r="AP43" s="834"/>
      <c r="AQ43" s="834"/>
      <c r="AR43" s="834"/>
      <c r="AS43" s="834"/>
      <c r="AT43" s="834"/>
      <c r="AU43" s="834"/>
      <c r="AV43" s="834"/>
      <c r="AW43" s="834"/>
      <c r="AX43" s="834"/>
      <c r="AY43" s="834"/>
      <c r="AZ43" s="834"/>
      <c r="BA43" s="834"/>
      <c r="BB43" s="834"/>
      <c r="BC43" s="834"/>
      <c r="BD43" s="834"/>
    </row>
    <row r="44" spans="1:56" s="835" customFormat="1">
      <c r="A44" s="884"/>
      <c r="B44" s="884"/>
      <c r="C44" s="881"/>
      <c r="D44" s="881"/>
      <c r="E44" s="881"/>
      <c r="F44" s="886"/>
      <c r="G44" s="884"/>
      <c r="H44" s="884"/>
      <c r="I44" s="884"/>
      <c r="J44" s="834"/>
      <c r="K44" s="834"/>
      <c r="L44" s="834"/>
      <c r="M44" s="834"/>
      <c r="N44" s="834"/>
      <c r="O44" s="834"/>
      <c r="P44" s="834"/>
      <c r="Q44" s="834"/>
      <c r="R44" s="834"/>
      <c r="S44" s="834"/>
      <c r="T44" s="834"/>
      <c r="U44" s="834"/>
      <c r="V44" s="834"/>
      <c r="W44" s="834"/>
      <c r="X44" s="834"/>
      <c r="Y44" s="834"/>
      <c r="Z44" s="834"/>
      <c r="AA44" s="834"/>
      <c r="AB44" s="834"/>
      <c r="AC44" s="834"/>
      <c r="AD44" s="834"/>
      <c r="AE44" s="834"/>
      <c r="AF44" s="834"/>
      <c r="AG44" s="834"/>
      <c r="AH44" s="834"/>
      <c r="AI44" s="834"/>
      <c r="AJ44" s="834"/>
      <c r="AK44" s="834"/>
      <c r="AL44" s="834"/>
      <c r="AM44" s="834"/>
      <c r="AN44" s="834"/>
      <c r="AO44" s="834"/>
      <c r="AP44" s="834"/>
      <c r="AQ44" s="834"/>
      <c r="AR44" s="834"/>
      <c r="AS44" s="834"/>
      <c r="AT44" s="834"/>
      <c r="AU44" s="834"/>
      <c r="AV44" s="834"/>
      <c r="AW44" s="834"/>
      <c r="AX44" s="834"/>
      <c r="AY44" s="834"/>
      <c r="AZ44" s="834"/>
      <c r="BA44" s="834"/>
      <c r="BB44" s="834"/>
      <c r="BC44" s="834"/>
      <c r="BD44" s="834"/>
    </row>
    <row r="45" spans="1:56" s="835" customFormat="1">
      <c r="A45" s="876"/>
      <c r="B45" s="881"/>
      <c r="C45" s="881"/>
      <c r="D45" s="881"/>
      <c r="E45" s="881"/>
      <c r="F45" s="886"/>
      <c r="G45" s="881"/>
      <c r="H45" s="881"/>
      <c r="I45" s="881"/>
      <c r="J45" s="834"/>
      <c r="K45" s="834"/>
      <c r="L45" s="834"/>
      <c r="M45" s="834"/>
      <c r="N45" s="834"/>
      <c r="O45" s="834"/>
      <c r="P45" s="834"/>
      <c r="Q45" s="834"/>
      <c r="R45" s="834"/>
      <c r="S45" s="834"/>
      <c r="T45" s="834"/>
      <c r="U45" s="834"/>
      <c r="V45" s="834"/>
      <c r="W45" s="834"/>
      <c r="X45" s="834"/>
      <c r="Y45" s="834"/>
      <c r="Z45" s="834"/>
      <c r="AA45" s="834"/>
      <c r="AB45" s="834"/>
      <c r="AC45" s="834"/>
      <c r="AD45" s="834"/>
      <c r="AE45" s="834"/>
      <c r="AF45" s="834"/>
      <c r="AG45" s="834"/>
      <c r="AH45" s="834"/>
      <c r="AI45" s="834"/>
      <c r="AJ45" s="834"/>
      <c r="AK45" s="834"/>
      <c r="AL45" s="834"/>
      <c r="AM45" s="834"/>
      <c r="AN45" s="834"/>
      <c r="AO45" s="834"/>
      <c r="AP45" s="834"/>
      <c r="AQ45" s="834"/>
      <c r="AR45" s="834"/>
      <c r="AS45" s="834"/>
      <c r="AT45" s="834"/>
      <c r="AU45" s="834"/>
      <c r="AV45" s="834"/>
      <c r="AW45" s="834"/>
      <c r="AX45" s="834"/>
      <c r="AY45" s="834"/>
      <c r="AZ45" s="834"/>
      <c r="BA45" s="834"/>
      <c r="BB45" s="834"/>
      <c r="BC45" s="834"/>
      <c r="BD45" s="834"/>
    </row>
    <row r="46" spans="1:56" s="835" customFormat="1">
      <c r="A46" s="876"/>
      <c r="B46" s="881"/>
      <c r="C46" s="887"/>
      <c r="D46" s="887"/>
      <c r="E46" s="887"/>
      <c r="F46" s="886"/>
      <c r="G46" s="881"/>
      <c r="H46" s="881"/>
      <c r="I46" s="881"/>
      <c r="J46" s="834"/>
      <c r="K46" s="834"/>
      <c r="L46" s="834"/>
      <c r="M46" s="834"/>
      <c r="N46" s="834"/>
      <c r="O46" s="834"/>
      <c r="P46" s="834"/>
      <c r="Q46" s="834"/>
      <c r="R46" s="834"/>
      <c r="S46" s="834"/>
      <c r="T46" s="834"/>
      <c r="U46" s="834"/>
      <c r="V46" s="834"/>
      <c r="W46" s="834"/>
      <c r="X46" s="834"/>
      <c r="Y46" s="834"/>
      <c r="Z46" s="834"/>
      <c r="AA46" s="834"/>
      <c r="AB46" s="834"/>
      <c r="AC46" s="834"/>
      <c r="AD46" s="834"/>
      <c r="AE46" s="834"/>
      <c r="AF46" s="834"/>
      <c r="AG46" s="834"/>
      <c r="AH46" s="834"/>
      <c r="AI46" s="834"/>
      <c r="AJ46" s="834"/>
      <c r="AK46" s="834"/>
      <c r="AL46" s="834"/>
      <c r="AM46" s="834"/>
      <c r="AN46" s="834"/>
      <c r="AO46" s="834"/>
      <c r="AP46" s="834"/>
      <c r="AQ46" s="834"/>
      <c r="AR46" s="834"/>
      <c r="AS46" s="834"/>
      <c r="AT46" s="834"/>
      <c r="AU46" s="834"/>
      <c r="AV46" s="834"/>
      <c r="AW46" s="834"/>
      <c r="AX46" s="834"/>
      <c r="AY46" s="834"/>
      <c r="AZ46" s="834"/>
      <c r="BA46" s="834"/>
      <c r="BB46" s="834"/>
      <c r="BC46" s="834"/>
      <c r="BD46" s="834"/>
    </row>
    <row r="47" spans="1:56" s="835" customFormat="1" ht="18.75">
      <c r="A47" s="876"/>
      <c r="B47" s="885"/>
      <c r="C47" s="888"/>
      <c r="D47" s="888"/>
      <c r="E47" s="888"/>
      <c r="F47" s="886"/>
      <c r="G47" s="885"/>
      <c r="H47" s="885"/>
      <c r="I47" s="885"/>
      <c r="J47" s="834"/>
      <c r="K47" s="834"/>
      <c r="L47" s="834"/>
      <c r="M47" s="834"/>
      <c r="N47" s="834"/>
      <c r="O47" s="834"/>
      <c r="P47" s="834"/>
      <c r="Q47" s="834"/>
      <c r="R47" s="834"/>
      <c r="S47" s="834"/>
      <c r="T47" s="834"/>
      <c r="U47" s="834"/>
      <c r="V47" s="834"/>
      <c r="W47" s="834"/>
      <c r="X47" s="834"/>
      <c r="Y47" s="834"/>
      <c r="Z47" s="834"/>
      <c r="AA47" s="834"/>
      <c r="AB47" s="834"/>
      <c r="AC47" s="834"/>
      <c r="AD47" s="834"/>
      <c r="AE47" s="834"/>
      <c r="AF47" s="834"/>
      <c r="AG47" s="834"/>
      <c r="AH47" s="834"/>
      <c r="AI47" s="834"/>
      <c r="AJ47" s="834"/>
      <c r="AK47" s="834"/>
      <c r="AL47" s="834"/>
      <c r="AM47" s="834"/>
      <c r="AN47" s="834"/>
      <c r="AO47" s="834"/>
      <c r="AP47" s="834"/>
      <c r="AQ47" s="834"/>
      <c r="AR47" s="834"/>
      <c r="AS47" s="834"/>
      <c r="AT47" s="834"/>
      <c r="AU47" s="834"/>
      <c r="AV47" s="834"/>
      <c r="AW47" s="834"/>
      <c r="AX47" s="834"/>
      <c r="AY47" s="834"/>
      <c r="AZ47" s="834"/>
      <c r="BA47" s="834"/>
      <c r="BB47" s="834"/>
      <c r="BC47" s="834"/>
      <c r="BD47" s="834"/>
    </row>
    <row r="48" spans="1:56" s="835" customFormat="1">
      <c r="A48" s="877"/>
      <c r="B48" s="877"/>
      <c r="C48" s="888"/>
      <c r="D48" s="888"/>
      <c r="E48" s="888"/>
      <c r="F48" s="886"/>
      <c r="G48" s="877"/>
      <c r="H48" s="877"/>
      <c r="I48" s="877"/>
      <c r="J48" s="834"/>
      <c r="K48" s="834"/>
      <c r="L48" s="834"/>
      <c r="M48" s="834"/>
      <c r="N48" s="834"/>
      <c r="O48" s="834"/>
      <c r="P48" s="834"/>
      <c r="Q48" s="834"/>
      <c r="R48" s="834"/>
      <c r="S48" s="834"/>
      <c r="T48" s="834"/>
      <c r="U48" s="834"/>
      <c r="V48" s="834"/>
      <c r="W48" s="834"/>
      <c r="X48" s="834"/>
      <c r="Y48" s="834"/>
      <c r="Z48" s="834"/>
      <c r="AA48" s="834"/>
      <c r="AB48" s="834"/>
      <c r="AC48" s="834"/>
      <c r="AD48" s="834"/>
      <c r="AE48" s="834"/>
      <c r="AF48" s="834"/>
      <c r="AG48" s="834"/>
      <c r="AH48" s="834"/>
      <c r="AI48" s="834"/>
      <c r="AJ48" s="834"/>
      <c r="AK48" s="834"/>
      <c r="AL48" s="834"/>
      <c r="AM48" s="834"/>
      <c r="AN48" s="834"/>
      <c r="AO48" s="834"/>
      <c r="AP48" s="834"/>
      <c r="AQ48" s="834"/>
      <c r="AR48" s="834"/>
      <c r="AS48" s="834"/>
      <c r="AT48" s="834"/>
      <c r="AU48" s="834"/>
      <c r="AV48" s="834"/>
      <c r="AW48" s="834"/>
      <c r="AX48" s="834"/>
      <c r="AY48" s="834"/>
      <c r="AZ48" s="834"/>
      <c r="BA48" s="834"/>
      <c r="BB48" s="834"/>
      <c r="BC48" s="834"/>
      <c r="BD48" s="834"/>
    </row>
    <row r="49" spans="1:56" s="835" customFormat="1">
      <c r="A49" s="880"/>
      <c r="B49" s="881"/>
      <c r="C49" s="889"/>
      <c r="D49" s="889"/>
      <c r="E49" s="889"/>
      <c r="F49" s="886"/>
      <c r="G49" s="881"/>
      <c r="H49" s="881"/>
      <c r="I49" s="881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4"/>
      <c r="AB49" s="834"/>
      <c r="AC49" s="834"/>
      <c r="AD49" s="834"/>
      <c r="AE49" s="834"/>
      <c r="AF49" s="834"/>
      <c r="AG49" s="834"/>
      <c r="AH49" s="834"/>
      <c r="AI49" s="834"/>
      <c r="AJ49" s="834"/>
      <c r="AK49" s="834"/>
      <c r="AL49" s="834"/>
      <c r="AM49" s="834"/>
      <c r="AN49" s="834"/>
      <c r="AO49" s="834"/>
      <c r="AP49" s="834"/>
      <c r="AQ49" s="834"/>
      <c r="AR49" s="834"/>
      <c r="AS49" s="834"/>
      <c r="AT49" s="834"/>
      <c r="AU49" s="834"/>
      <c r="AV49" s="834"/>
      <c r="AW49" s="834"/>
      <c r="AX49" s="834"/>
      <c r="AY49" s="834"/>
      <c r="AZ49" s="834"/>
      <c r="BA49" s="834"/>
      <c r="BB49" s="834"/>
      <c r="BC49" s="834"/>
      <c r="BD49" s="834"/>
    </row>
    <row r="50" spans="1:56" s="835" customFormat="1">
      <c r="A50" s="880"/>
      <c r="B50" s="881"/>
      <c r="C50" s="883"/>
      <c r="D50" s="883"/>
      <c r="E50" s="883"/>
      <c r="F50" s="886"/>
      <c r="G50" s="881"/>
      <c r="H50" s="881"/>
      <c r="I50" s="881"/>
      <c r="J50" s="834"/>
      <c r="K50" s="834"/>
      <c r="L50" s="834"/>
      <c r="M50" s="834"/>
      <c r="N50" s="834"/>
      <c r="O50" s="834"/>
      <c r="P50" s="834"/>
      <c r="Q50" s="834"/>
      <c r="R50" s="834"/>
      <c r="S50" s="834"/>
      <c r="T50" s="834"/>
      <c r="U50" s="834"/>
      <c r="V50" s="834"/>
      <c r="W50" s="834"/>
      <c r="X50" s="834"/>
      <c r="Y50" s="834"/>
      <c r="Z50" s="834"/>
      <c r="AA50" s="834"/>
      <c r="AB50" s="834"/>
      <c r="AC50" s="834"/>
      <c r="AD50" s="834"/>
      <c r="AE50" s="834"/>
      <c r="AF50" s="834"/>
      <c r="AG50" s="834"/>
      <c r="AH50" s="834"/>
      <c r="AI50" s="834"/>
      <c r="AJ50" s="834"/>
      <c r="AK50" s="834"/>
      <c r="AL50" s="834"/>
      <c r="AM50" s="834"/>
      <c r="AN50" s="834"/>
      <c r="AO50" s="834"/>
      <c r="AP50" s="834"/>
      <c r="AQ50" s="834"/>
      <c r="AR50" s="834"/>
      <c r="AS50" s="834"/>
      <c r="AT50" s="834"/>
      <c r="AU50" s="834"/>
      <c r="AV50" s="834"/>
      <c r="AW50" s="834"/>
      <c r="AX50" s="834"/>
      <c r="AY50" s="834"/>
      <c r="AZ50" s="834"/>
      <c r="BA50" s="834"/>
      <c r="BB50" s="834"/>
      <c r="BC50" s="834"/>
      <c r="BD50" s="834"/>
    </row>
    <row r="51" spans="1:56" s="835" customFormat="1">
      <c r="A51" s="880"/>
      <c r="B51" s="881"/>
      <c r="C51" s="890"/>
      <c r="D51" s="890"/>
      <c r="E51" s="890"/>
      <c r="F51" s="886"/>
      <c r="G51" s="881"/>
      <c r="H51" s="881"/>
      <c r="I51" s="881"/>
      <c r="J51" s="834"/>
      <c r="K51" s="834"/>
      <c r="L51" s="834"/>
      <c r="M51" s="834"/>
      <c r="N51" s="834"/>
      <c r="O51" s="834"/>
      <c r="P51" s="834"/>
      <c r="Q51" s="834"/>
      <c r="R51" s="834"/>
      <c r="S51" s="834"/>
      <c r="T51" s="834"/>
      <c r="U51" s="834"/>
      <c r="V51" s="834"/>
      <c r="W51" s="834"/>
      <c r="X51" s="834"/>
      <c r="Y51" s="834"/>
      <c r="Z51" s="834"/>
      <c r="AA51" s="834"/>
      <c r="AB51" s="834"/>
      <c r="AC51" s="834"/>
      <c r="AD51" s="834"/>
      <c r="AE51" s="834"/>
      <c r="AF51" s="834"/>
      <c r="AG51" s="834"/>
      <c r="AH51" s="834"/>
      <c r="AI51" s="834"/>
      <c r="AJ51" s="834"/>
      <c r="AK51" s="834"/>
      <c r="AL51" s="834"/>
      <c r="AM51" s="834"/>
      <c r="AN51" s="834"/>
      <c r="AO51" s="834"/>
      <c r="AP51" s="834"/>
      <c r="AQ51" s="834"/>
      <c r="AR51" s="834"/>
      <c r="AS51" s="834"/>
      <c r="AT51" s="834"/>
      <c r="AU51" s="834"/>
      <c r="AV51" s="834"/>
      <c r="AW51" s="834"/>
      <c r="AX51" s="834"/>
      <c r="AY51" s="834"/>
      <c r="AZ51" s="834"/>
      <c r="BA51" s="834"/>
      <c r="BB51" s="834"/>
      <c r="BC51" s="834"/>
      <c r="BD51" s="834"/>
    </row>
    <row r="52" spans="1:56" s="835" customFormat="1">
      <c r="A52" s="880"/>
      <c r="B52" s="881"/>
      <c r="C52" s="890"/>
      <c r="D52" s="890"/>
      <c r="E52" s="890"/>
      <c r="F52" s="886"/>
      <c r="G52" s="881"/>
      <c r="H52" s="881"/>
      <c r="I52" s="881"/>
      <c r="J52" s="834"/>
      <c r="K52" s="834"/>
      <c r="L52" s="834"/>
      <c r="M52" s="834"/>
      <c r="N52" s="834"/>
      <c r="O52" s="834"/>
      <c r="P52" s="834"/>
      <c r="Q52" s="834"/>
      <c r="R52" s="834"/>
      <c r="S52" s="834"/>
      <c r="T52" s="834"/>
      <c r="U52" s="834"/>
      <c r="V52" s="834"/>
      <c r="W52" s="834"/>
      <c r="X52" s="834"/>
      <c r="Y52" s="834"/>
      <c r="Z52" s="834"/>
      <c r="AA52" s="834"/>
      <c r="AB52" s="834"/>
      <c r="AC52" s="834"/>
      <c r="AD52" s="834"/>
      <c r="AE52" s="834"/>
      <c r="AF52" s="834"/>
      <c r="AG52" s="834"/>
      <c r="AH52" s="834"/>
      <c r="AI52" s="834"/>
      <c r="AJ52" s="834"/>
      <c r="AK52" s="834"/>
      <c r="AL52" s="834"/>
      <c r="AM52" s="834"/>
      <c r="AN52" s="834"/>
      <c r="AO52" s="834"/>
      <c r="AP52" s="834"/>
      <c r="AQ52" s="834"/>
      <c r="AR52" s="834"/>
      <c r="AS52" s="834"/>
      <c r="AT52" s="834"/>
      <c r="AU52" s="834"/>
      <c r="AV52" s="834"/>
      <c r="AW52" s="834"/>
      <c r="AX52" s="834"/>
      <c r="AY52" s="834"/>
      <c r="AZ52" s="834"/>
      <c r="BA52" s="834"/>
      <c r="BB52" s="834"/>
      <c r="BC52" s="834"/>
      <c r="BD52" s="834"/>
    </row>
    <row r="53" spans="1:56" s="835" customFormat="1">
      <c r="A53" s="880"/>
      <c r="B53" s="881"/>
      <c r="C53" s="890"/>
      <c r="D53" s="890"/>
      <c r="E53" s="890"/>
      <c r="F53" s="886"/>
      <c r="G53" s="881"/>
      <c r="H53" s="881"/>
      <c r="I53" s="881"/>
      <c r="J53" s="834"/>
      <c r="K53" s="834"/>
      <c r="L53" s="834"/>
      <c r="M53" s="834"/>
      <c r="N53" s="834"/>
      <c r="O53" s="834"/>
      <c r="P53" s="834"/>
      <c r="Q53" s="834"/>
      <c r="R53" s="834"/>
      <c r="S53" s="834"/>
      <c r="T53" s="834"/>
      <c r="U53" s="834"/>
      <c r="V53" s="834"/>
      <c r="W53" s="834"/>
      <c r="X53" s="834"/>
      <c r="Y53" s="834"/>
      <c r="Z53" s="834"/>
      <c r="AA53" s="834"/>
      <c r="AB53" s="834"/>
      <c r="AC53" s="834"/>
      <c r="AD53" s="834"/>
      <c r="AE53" s="834"/>
      <c r="AF53" s="834"/>
      <c r="AG53" s="834"/>
      <c r="AH53" s="834"/>
      <c r="AI53" s="834"/>
      <c r="AJ53" s="834"/>
      <c r="AK53" s="834"/>
      <c r="AL53" s="834"/>
      <c r="AM53" s="834"/>
      <c r="AN53" s="834"/>
      <c r="AO53" s="834"/>
      <c r="AP53" s="834"/>
      <c r="AQ53" s="834"/>
      <c r="AR53" s="834"/>
      <c r="AS53" s="834"/>
      <c r="AT53" s="834"/>
      <c r="AU53" s="834"/>
      <c r="AV53" s="834"/>
      <c r="AW53" s="834"/>
      <c r="AX53" s="834"/>
      <c r="AY53" s="834"/>
      <c r="AZ53" s="834"/>
      <c r="BA53" s="834"/>
      <c r="BB53" s="834"/>
      <c r="BC53" s="834"/>
      <c r="BD53" s="834"/>
    </row>
    <row r="54" spans="1:56" s="835" customFormat="1">
      <c r="A54" s="880"/>
      <c r="B54" s="881"/>
      <c r="C54" s="890"/>
      <c r="D54" s="890"/>
      <c r="E54" s="890"/>
      <c r="F54" s="886"/>
      <c r="G54" s="881"/>
      <c r="H54" s="881"/>
      <c r="I54" s="881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834"/>
      <c r="AJ54" s="834"/>
      <c r="AK54" s="834"/>
      <c r="AL54" s="834"/>
      <c r="AM54" s="834"/>
      <c r="AN54" s="834"/>
      <c r="AO54" s="834"/>
      <c r="AP54" s="834"/>
      <c r="AQ54" s="834"/>
      <c r="AR54" s="834"/>
      <c r="AS54" s="834"/>
      <c r="AT54" s="834"/>
      <c r="AU54" s="834"/>
      <c r="AV54" s="834"/>
      <c r="AW54" s="834"/>
      <c r="AX54" s="834"/>
      <c r="AY54" s="834"/>
      <c r="AZ54" s="834"/>
      <c r="BA54" s="834"/>
      <c r="BB54" s="834"/>
      <c r="BC54" s="834"/>
      <c r="BD54" s="834"/>
    </row>
    <row r="55" spans="1:56" s="835" customFormat="1">
      <c r="A55" s="880"/>
      <c r="B55" s="881"/>
      <c r="C55" s="890"/>
      <c r="D55" s="890"/>
      <c r="E55" s="890"/>
      <c r="F55" s="886"/>
      <c r="G55" s="881"/>
      <c r="H55" s="881"/>
      <c r="I55" s="881"/>
      <c r="J55" s="834"/>
      <c r="K55" s="834"/>
      <c r="L55" s="834"/>
      <c r="M55" s="834"/>
      <c r="N55" s="834"/>
      <c r="O55" s="834"/>
      <c r="P55" s="834"/>
      <c r="Q55" s="834"/>
      <c r="R55" s="834"/>
      <c r="S55" s="834"/>
      <c r="T55" s="834"/>
      <c r="U55" s="834"/>
      <c r="V55" s="834"/>
      <c r="W55" s="834"/>
      <c r="X55" s="834"/>
      <c r="Y55" s="834"/>
      <c r="Z55" s="834"/>
      <c r="AA55" s="834"/>
      <c r="AB55" s="834"/>
      <c r="AC55" s="834"/>
      <c r="AD55" s="834"/>
      <c r="AE55" s="834"/>
      <c r="AF55" s="834"/>
      <c r="AG55" s="834"/>
      <c r="AH55" s="834"/>
      <c r="AI55" s="834"/>
      <c r="AJ55" s="834"/>
      <c r="AK55" s="834"/>
      <c r="AL55" s="834"/>
      <c r="AM55" s="834"/>
      <c r="AN55" s="834"/>
      <c r="AO55" s="834"/>
      <c r="AP55" s="834"/>
      <c r="AQ55" s="834"/>
      <c r="AR55" s="834"/>
      <c r="AS55" s="834"/>
      <c r="AT55" s="834"/>
      <c r="AU55" s="834"/>
      <c r="AV55" s="834"/>
      <c r="AW55" s="834"/>
      <c r="AX55" s="834"/>
      <c r="AY55" s="834"/>
      <c r="AZ55" s="834"/>
      <c r="BA55" s="834"/>
      <c r="BB55" s="834"/>
      <c r="BC55" s="834"/>
      <c r="BD55" s="834"/>
    </row>
    <row r="56" spans="1:56" s="835" customFormat="1">
      <c r="A56" s="876"/>
      <c r="B56" s="881"/>
      <c r="C56" s="890"/>
      <c r="D56" s="890"/>
      <c r="E56" s="890"/>
      <c r="F56" s="886"/>
      <c r="G56" s="881"/>
      <c r="H56" s="881"/>
      <c r="I56" s="881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4"/>
      <c r="AB56" s="834"/>
      <c r="AC56" s="834"/>
      <c r="AD56" s="834"/>
      <c r="AE56" s="834"/>
      <c r="AF56" s="834"/>
      <c r="AG56" s="834"/>
      <c r="AH56" s="834"/>
      <c r="AI56" s="834"/>
      <c r="AJ56" s="834"/>
      <c r="AK56" s="834"/>
      <c r="AL56" s="834"/>
      <c r="AM56" s="834"/>
      <c r="AN56" s="834"/>
      <c r="AO56" s="834"/>
      <c r="AP56" s="834"/>
      <c r="AQ56" s="834"/>
      <c r="AR56" s="834"/>
      <c r="AS56" s="834"/>
      <c r="AT56" s="834"/>
      <c r="AU56" s="834"/>
      <c r="AV56" s="834"/>
      <c r="AW56" s="834"/>
      <c r="AX56" s="834"/>
      <c r="AY56" s="834"/>
      <c r="AZ56" s="834"/>
      <c r="BA56" s="834"/>
      <c r="BB56" s="834"/>
      <c r="BC56" s="834"/>
      <c r="BD56" s="834"/>
    </row>
    <row r="57" spans="1:56" s="835" customFormat="1">
      <c r="A57" s="884"/>
      <c r="B57" s="884"/>
      <c r="C57" s="890"/>
      <c r="D57" s="890"/>
      <c r="E57" s="890"/>
      <c r="F57" s="886"/>
      <c r="G57" s="884"/>
      <c r="H57" s="884"/>
      <c r="I57" s="884"/>
      <c r="J57" s="834"/>
      <c r="K57" s="834"/>
      <c r="L57" s="834"/>
      <c r="M57" s="834"/>
      <c r="N57" s="834"/>
      <c r="O57" s="834"/>
      <c r="P57" s="834"/>
      <c r="Q57" s="834"/>
      <c r="R57" s="834"/>
      <c r="S57" s="834"/>
      <c r="T57" s="834"/>
      <c r="U57" s="834"/>
      <c r="V57" s="834"/>
      <c r="W57" s="834"/>
      <c r="X57" s="834"/>
      <c r="Y57" s="834"/>
      <c r="Z57" s="834"/>
      <c r="AA57" s="834"/>
      <c r="AB57" s="834"/>
      <c r="AC57" s="834"/>
      <c r="AD57" s="834"/>
      <c r="AE57" s="834"/>
      <c r="AF57" s="834"/>
      <c r="AG57" s="834"/>
      <c r="AH57" s="834"/>
      <c r="AI57" s="834"/>
      <c r="AJ57" s="834"/>
      <c r="AK57" s="834"/>
      <c r="AL57" s="834"/>
      <c r="AM57" s="834"/>
      <c r="AN57" s="834"/>
      <c r="AO57" s="834"/>
      <c r="AP57" s="834"/>
      <c r="AQ57" s="834"/>
      <c r="AR57" s="834"/>
      <c r="AS57" s="834"/>
      <c r="AT57" s="834"/>
      <c r="AU57" s="834"/>
      <c r="AV57" s="834"/>
      <c r="AW57" s="834"/>
      <c r="AX57" s="834"/>
      <c r="AY57" s="834"/>
      <c r="AZ57" s="834"/>
      <c r="BA57" s="834"/>
      <c r="BB57" s="834"/>
      <c r="BC57" s="834"/>
      <c r="BD57" s="834"/>
    </row>
    <row r="58" spans="1:56" s="835" customFormat="1">
      <c r="A58" s="876"/>
      <c r="B58" s="881"/>
      <c r="C58" s="890"/>
      <c r="D58" s="890"/>
      <c r="E58" s="890"/>
      <c r="F58" s="886"/>
      <c r="G58" s="881"/>
      <c r="H58" s="881"/>
      <c r="I58" s="881"/>
      <c r="J58" s="834"/>
      <c r="K58" s="834"/>
      <c r="L58" s="834"/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4"/>
      <c r="AA58" s="834"/>
      <c r="AB58" s="834"/>
      <c r="AC58" s="834"/>
      <c r="AD58" s="834"/>
      <c r="AE58" s="834"/>
      <c r="AF58" s="834"/>
      <c r="AG58" s="834"/>
      <c r="AH58" s="834"/>
      <c r="AI58" s="834"/>
      <c r="AJ58" s="834"/>
      <c r="AK58" s="834"/>
      <c r="AL58" s="834"/>
      <c r="AM58" s="834"/>
      <c r="AN58" s="834"/>
      <c r="AO58" s="834"/>
      <c r="AP58" s="834"/>
      <c r="AQ58" s="834"/>
      <c r="AR58" s="834"/>
      <c r="AS58" s="834"/>
      <c r="AT58" s="834"/>
      <c r="AU58" s="834"/>
      <c r="AV58" s="834"/>
      <c r="AW58" s="834"/>
      <c r="AX58" s="834"/>
      <c r="AY58" s="834"/>
      <c r="AZ58" s="834"/>
      <c r="BA58" s="834"/>
      <c r="BB58" s="834"/>
      <c r="BC58" s="834"/>
      <c r="BD58" s="834"/>
    </row>
    <row r="59" spans="1:56" s="835" customFormat="1">
      <c r="A59" s="884"/>
      <c r="B59" s="884"/>
      <c r="C59" s="887"/>
      <c r="D59" s="887"/>
      <c r="E59" s="887"/>
      <c r="F59" s="886"/>
      <c r="G59" s="884"/>
      <c r="H59" s="884"/>
      <c r="I59" s="884"/>
      <c r="J59" s="834"/>
      <c r="K59" s="834"/>
      <c r="L59" s="834"/>
      <c r="M59" s="834"/>
      <c r="N59" s="834"/>
      <c r="O59" s="834"/>
      <c r="P59" s="834"/>
      <c r="Q59" s="834"/>
      <c r="R59" s="834"/>
      <c r="S59" s="834"/>
      <c r="T59" s="834"/>
      <c r="U59" s="834"/>
      <c r="V59" s="834"/>
      <c r="W59" s="834"/>
      <c r="X59" s="834"/>
      <c r="Y59" s="834"/>
      <c r="Z59" s="834"/>
      <c r="AA59" s="834"/>
      <c r="AB59" s="834"/>
      <c r="AC59" s="834"/>
      <c r="AD59" s="834"/>
      <c r="AE59" s="834"/>
      <c r="AF59" s="834"/>
      <c r="AG59" s="834"/>
      <c r="AH59" s="834"/>
      <c r="AI59" s="834"/>
      <c r="AJ59" s="834"/>
      <c r="AK59" s="834"/>
      <c r="AL59" s="834"/>
      <c r="AM59" s="834"/>
      <c r="AN59" s="834"/>
      <c r="AO59" s="834"/>
      <c r="AP59" s="834"/>
      <c r="AQ59" s="834"/>
      <c r="AR59" s="834"/>
      <c r="AS59" s="834"/>
      <c r="AT59" s="834"/>
      <c r="AU59" s="834"/>
      <c r="AV59" s="834"/>
      <c r="AW59" s="834"/>
      <c r="AX59" s="834"/>
      <c r="AY59" s="834"/>
      <c r="AZ59" s="834"/>
      <c r="BA59" s="834"/>
      <c r="BB59" s="834"/>
      <c r="BC59" s="834"/>
      <c r="BD59" s="834"/>
    </row>
    <row r="60" spans="1:56" s="835" customFormat="1">
      <c r="A60" s="884"/>
      <c r="B60" s="884"/>
      <c r="C60" s="888"/>
      <c r="D60" s="888"/>
      <c r="E60" s="888"/>
      <c r="F60" s="886"/>
      <c r="G60" s="884"/>
      <c r="H60" s="884"/>
      <c r="I60" s="884"/>
      <c r="J60" s="834"/>
      <c r="K60" s="834"/>
      <c r="L60" s="834"/>
      <c r="M60" s="834"/>
      <c r="N60" s="834"/>
      <c r="O60" s="834"/>
      <c r="P60" s="834"/>
      <c r="Q60" s="834"/>
      <c r="R60" s="834"/>
      <c r="S60" s="834"/>
      <c r="T60" s="834"/>
      <c r="U60" s="834"/>
      <c r="V60" s="834"/>
      <c r="W60" s="834"/>
      <c r="X60" s="834"/>
      <c r="Y60" s="834"/>
      <c r="Z60" s="834"/>
      <c r="AA60" s="834"/>
      <c r="AB60" s="834"/>
      <c r="AC60" s="834"/>
      <c r="AD60" s="834"/>
      <c r="AE60" s="834"/>
      <c r="AF60" s="834"/>
      <c r="AG60" s="834"/>
      <c r="AH60" s="834"/>
      <c r="AI60" s="834"/>
      <c r="AJ60" s="834"/>
      <c r="AK60" s="834"/>
      <c r="AL60" s="834"/>
      <c r="AM60" s="834"/>
      <c r="AN60" s="834"/>
      <c r="AO60" s="834"/>
      <c r="AP60" s="834"/>
      <c r="AQ60" s="834"/>
      <c r="AR60" s="834"/>
      <c r="AS60" s="834"/>
      <c r="AT60" s="834"/>
      <c r="AU60" s="834"/>
      <c r="AV60" s="834"/>
      <c r="AW60" s="834"/>
      <c r="AX60" s="834"/>
      <c r="AY60" s="834"/>
      <c r="AZ60" s="834"/>
      <c r="BA60" s="834"/>
      <c r="BB60" s="834"/>
      <c r="BC60" s="834"/>
      <c r="BD60" s="834"/>
    </row>
    <row r="61" spans="1:56" s="835" customFormat="1" ht="18.75">
      <c r="A61" s="876"/>
      <c r="B61" s="885"/>
      <c r="C61" s="886"/>
      <c r="D61" s="886"/>
      <c r="E61" s="886"/>
      <c r="F61" s="886"/>
      <c r="G61" s="885"/>
      <c r="H61" s="885"/>
      <c r="I61" s="885"/>
      <c r="J61" s="834"/>
      <c r="K61" s="834"/>
      <c r="L61" s="834"/>
      <c r="M61" s="834"/>
      <c r="N61" s="834"/>
      <c r="O61" s="834"/>
      <c r="P61" s="834"/>
      <c r="Q61" s="834"/>
      <c r="R61" s="834"/>
      <c r="S61" s="834"/>
      <c r="T61" s="834"/>
      <c r="U61" s="834"/>
      <c r="V61" s="834"/>
      <c r="W61" s="834"/>
      <c r="X61" s="834"/>
      <c r="Y61" s="834"/>
      <c r="Z61" s="834"/>
      <c r="AA61" s="834"/>
      <c r="AB61" s="834"/>
      <c r="AC61" s="834"/>
      <c r="AD61" s="834"/>
      <c r="AE61" s="834"/>
      <c r="AF61" s="834"/>
      <c r="AG61" s="834"/>
      <c r="AH61" s="834"/>
      <c r="AI61" s="834"/>
      <c r="AJ61" s="834"/>
      <c r="AK61" s="834"/>
      <c r="AL61" s="834"/>
      <c r="AM61" s="834"/>
      <c r="AN61" s="834"/>
      <c r="AO61" s="834"/>
      <c r="AP61" s="834"/>
      <c r="AQ61" s="834"/>
      <c r="AR61" s="834"/>
      <c r="AS61" s="834"/>
      <c r="AT61" s="834"/>
      <c r="AU61" s="834"/>
      <c r="AV61" s="834"/>
      <c r="AW61" s="834"/>
      <c r="AX61" s="834"/>
      <c r="AY61" s="834"/>
      <c r="AZ61" s="834"/>
      <c r="BA61" s="834"/>
      <c r="BB61" s="834"/>
      <c r="BC61" s="834"/>
      <c r="BD61" s="834"/>
    </row>
    <row r="62" spans="1:56" s="835" customFormat="1">
      <c r="A62" s="877"/>
      <c r="B62" s="877"/>
      <c r="C62" s="886"/>
      <c r="D62" s="886"/>
      <c r="E62" s="886"/>
      <c r="F62" s="886"/>
      <c r="G62" s="877"/>
      <c r="H62" s="877"/>
      <c r="I62" s="877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4"/>
      <c r="AC62" s="834"/>
      <c r="AD62" s="834"/>
      <c r="AE62" s="834"/>
      <c r="AF62" s="834"/>
      <c r="AG62" s="834"/>
      <c r="AH62" s="834"/>
      <c r="AI62" s="834"/>
      <c r="AJ62" s="834"/>
      <c r="AK62" s="834"/>
      <c r="AL62" s="834"/>
      <c r="AM62" s="834"/>
      <c r="AN62" s="834"/>
      <c r="AO62" s="834"/>
      <c r="AP62" s="834"/>
      <c r="AQ62" s="834"/>
      <c r="AR62" s="834"/>
      <c r="AS62" s="834"/>
      <c r="AT62" s="834"/>
      <c r="AU62" s="834"/>
      <c r="AV62" s="834"/>
      <c r="AW62" s="834"/>
      <c r="AX62" s="834"/>
      <c r="AY62" s="834"/>
      <c r="AZ62" s="834"/>
      <c r="BA62" s="834"/>
      <c r="BB62" s="834"/>
      <c r="BC62" s="834"/>
      <c r="BD62" s="834"/>
    </row>
    <row r="63" spans="1:56" s="835" customFormat="1">
      <c r="A63" s="880"/>
      <c r="B63" s="881"/>
      <c r="C63" s="891"/>
      <c r="D63" s="891"/>
      <c r="E63" s="891"/>
      <c r="F63" s="886"/>
      <c r="G63" s="881"/>
      <c r="H63" s="881"/>
      <c r="I63" s="881"/>
      <c r="J63" s="834"/>
      <c r="K63" s="834"/>
      <c r="L63" s="834"/>
      <c r="M63" s="834"/>
      <c r="N63" s="834"/>
      <c r="O63" s="834"/>
      <c r="P63" s="834"/>
      <c r="Q63" s="834"/>
      <c r="R63" s="834"/>
      <c r="S63" s="834"/>
      <c r="T63" s="834"/>
      <c r="U63" s="834"/>
      <c r="V63" s="834"/>
      <c r="W63" s="834"/>
      <c r="X63" s="834"/>
      <c r="Y63" s="834"/>
      <c r="Z63" s="834"/>
      <c r="AA63" s="834"/>
      <c r="AB63" s="834"/>
      <c r="AC63" s="834"/>
      <c r="AD63" s="834"/>
      <c r="AE63" s="834"/>
      <c r="AF63" s="834"/>
      <c r="AG63" s="834"/>
      <c r="AH63" s="834"/>
      <c r="AI63" s="834"/>
      <c r="AJ63" s="834"/>
      <c r="AK63" s="834"/>
      <c r="AL63" s="834"/>
      <c r="AM63" s="834"/>
      <c r="AN63" s="834"/>
      <c r="AO63" s="834"/>
      <c r="AP63" s="834"/>
      <c r="AQ63" s="834"/>
      <c r="AR63" s="834"/>
      <c r="AS63" s="834"/>
      <c r="AT63" s="834"/>
      <c r="AU63" s="834"/>
      <c r="AV63" s="834"/>
      <c r="AW63" s="834"/>
      <c r="AX63" s="834"/>
      <c r="AY63" s="834"/>
      <c r="AZ63" s="834"/>
      <c r="BA63" s="834"/>
      <c r="BB63" s="834"/>
      <c r="BC63" s="834"/>
      <c r="BD63" s="834"/>
    </row>
    <row r="64" spans="1:56" s="835" customFormat="1">
      <c r="A64" s="880"/>
      <c r="B64" s="881"/>
      <c r="C64" s="883"/>
      <c r="D64" s="883"/>
      <c r="E64" s="883"/>
      <c r="F64" s="886"/>
      <c r="G64" s="881"/>
      <c r="H64" s="881"/>
      <c r="I64" s="881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4"/>
      <c r="AC64" s="834"/>
      <c r="AD64" s="834"/>
      <c r="AE64" s="834"/>
      <c r="AF64" s="834"/>
      <c r="AG64" s="834"/>
      <c r="AH64" s="834"/>
      <c r="AI64" s="834"/>
      <c r="AJ64" s="834"/>
      <c r="AK64" s="834"/>
      <c r="AL64" s="834"/>
      <c r="AM64" s="834"/>
      <c r="AN64" s="834"/>
      <c r="AO64" s="834"/>
      <c r="AP64" s="834"/>
      <c r="AQ64" s="834"/>
      <c r="AR64" s="834"/>
      <c r="AS64" s="834"/>
      <c r="AT64" s="834"/>
      <c r="AU64" s="834"/>
      <c r="AV64" s="834"/>
      <c r="AW64" s="834"/>
      <c r="AX64" s="834"/>
      <c r="AY64" s="834"/>
      <c r="AZ64" s="834"/>
      <c r="BA64" s="834"/>
      <c r="BB64" s="834"/>
      <c r="BC64" s="834"/>
      <c r="BD64" s="834"/>
    </row>
    <row r="65" spans="1:56" s="835" customFormat="1">
      <c r="A65" s="880"/>
      <c r="B65" s="881"/>
      <c r="C65" s="890"/>
      <c r="D65" s="890"/>
      <c r="E65" s="890"/>
      <c r="F65" s="886"/>
      <c r="G65" s="881"/>
      <c r="H65" s="881"/>
      <c r="I65" s="881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4"/>
      <c r="AC65" s="834"/>
      <c r="AD65" s="834"/>
      <c r="AE65" s="834"/>
      <c r="AF65" s="834"/>
      <c r="AG65" s="834"/>
      <c r="AH65" s="834"/>
      <c r="AI65" s="834"/>
      <c r="AJ65" s="834"/>
      <c r="AK65" s="834"/>
      <c r="AL65" s="834"/>
      <c r="AM65" s="834"/>
      <c r="AN65" s="834"/>
      <c r="AO65" s="834"/>
      <c r="AP65" s="834"/>
      <c r="AQ65" s="834"/>
      <c r="AR65" s="834"/>
      <c r="AS65" s="834"/>
      <c r="AT65" s="834"/>
      <c r="AU65" s="834"/>
      <c r="AV65" s="834"/>
      <c r="AW65" s="834"/>
      <c r="AX65" s="834"/>
      <c r="AY65" s="834"/>
      <c r="AZ65" s="834"/>
      <c r="BA65" s="834"/>
      <c r="BB65" s="834"/>
      <c r="BC65" s="834"/>
      <c r="BD65" s="834"/>
    </row>
    <row r="66" spans="1:56" s="835" customFormat="1">
      <c r="A66" s="880"/>
      <c r="B66" s="881"/>
      <c r="C66" s="890"/>
      <c r="D66" s="890"/>
      <c r="E66" s="890"/>
      <c r="F66" s="886"/>
      <c r="G66" s="881"/>
      <c r="H66" s="881"/>
      <c r="I66" s="881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4"/>
      <c r="AC66" s="834"/>
      <c r="AD66" s="834"/>
      <c r="AE66" s="834"/>
      <c r="AF66" s="834"/>
      <c r="AG66" s="834"/>
      <c r="AH66" s="834"/>
      <c r="AI66" s="834"/>
      <c r="AJ66" s="834"/>
      <c r="AK66" s="834"/>
      <c r="AL66" s="834"/>
      <c r="AM66" s="834"/>
      <c r="AN66" s="834"/>
      <c r="AO66" s="834"/>
      <c r="AP66" s="834"/>
      <c r="AQ66" s="834"/>
      <c r="AR66" s="834"/>
      <c r="AS66" s="834"/>
      <c r="AT66" s="834"/>
      <c r="AU66" s="834"/>
      <c r="AV66" s="834"/>
      <c r="AW66" s="834"/>
      <c r="AX66" s="834"/>
      <c r="AY66" s="834"/>
      <c r="AZ66" s="834"/>
      <c r="BA66" s="834"/>
      <c r="BB66" s="834"/>
      <c r="BC66" s="834"/>
      <c r="BD66" s="834"/>
    </row>
    <row r="67" spans="1:56" s="835" customFormat="1">
      <c r="A67" s="880"/>
      <c r="B67" s="881"/>
      <c r="C67" s="890"/>
      <c r="D67" s="890"/>
      <c r="E67" s="890"/>
      <c r="F67" s="886"/>
      <c r="G67" s="881"/>
      <c r="H67" s="881"/>
      <c r="I67" s="881"/>
      <c r="J67" s="834"/>
      <c r="K67" s="834"/>
      <c r="L67" s="834"/>
      <c r="M67" s="834"/>
      <c r="N67" s="834"/>
      <c r="O67" s="834"/>
      <c r="P67" s="834"/>
      <c r="Q67" s="834"/>
      <c r="R67" s="834"/>
      <c r="S67" s="834"/>
      <c r="T67" s="834"/>
      <c r="U67" s="834"/>
      <c r="V67" s="834"/>
      <c r="W67" s="834"/>
      <c r="X67" s="834"/>
      <c r="Y67" s="834"/>
      <c r="Z67" s="834"/>
      <c r="AA67" s="834"/>
      <c r="AB67" s="834"/>
      <c r="AC67" s="834"/>
      <c r="AD67" s="834"/>
      <c r="AE67" s="834"/>
      <c r="AF67" s="834"/>
      <c r="AG67" s="834"/>
      <c r="AH67" s="834"/>
      <c r="AI67" s="834"/>
      <c r="AJ67" s="834"/>
      <c r="AK67" s="834"/>
      <c r="AL67" s="834"/>
      <c r="AM67" s="834"/>
      <c r="AN67" s="834"/>
      <c r="AO67" s="834"/>
      <c r="AP67" s="834"/>
      <c r="AQ67" s="834"/>
      <c r="AR67" s="834"/>
      <c r="AS67" s="834"/>
      <c r="AT67" s="834"/>
      <c r="AU67" s="834"/>
      <c r="AV67" s="834"/>
      <c r="AW67" s="834"/>
      <c r="AX67" s="834"/>
      <c r="AY67" s="834"/>
      <c r="AZ67" s="834"/>
      <c r="BA67" s="834"/>
      <c r="BB67" s="834"/>
      <c r="BC67" s="834"/>
      <c r="BD67" s="834"/>
    </row>
    <row r="68" spans="1:56" s="835" customFormat="1">
      <c r="A68" s="880"/>
      <c r="B68" s="881"/>
      <c r="C68" s="890"/>
      <c r="D68" s="890"/>
      <c r="E68" s="890"/>
      <c r="F68" s="886"/>
      <c r="G68" s="881"/>
      <c r="H68" s="881"/>
      <c r="I68" s="881"/>
      <c r="J68" s="834"/>
      <c r="K68" s="834"/>
      <c r="L68" s="834"/>
      <c r="M68" s="834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4"/>
      <c r="AC68" s="834"/>
      <c r="AD68" s="834"/>
      <c r="AE68" s="834"/>
      <c r="AF68" s="834"/>
      <c r="AG68" s="834"/>
      <c r="AH68" s="834"/>
      <c r="AI68" s="834"/>
      <c r="AJ68" s="834"/>
      <c r="AK68" s="834"/>
      <c r="AL68" s="834"/>
      <c r="AM68" s="834"/>
      <c r="AN68" s="834"/>
      <c r="AO68" s="834"/>
      <c r="AP68" s="834"/>
      <c r="AQ68" s="834"/>
      <c r="AR68" s="834"/>
      <c r="AS68" s="834"/>
      <c r="AT68" s="834"/>
      <c r="AU68" s="834"/>
      <c r="AV68" s="834"/>
      <c r="AW68" s="834"/>
      <c r="AX68" s="834"/>
      <c r="AY68" s="834"/>
      <c r="AZ68" s="834"/>
      <c r="BA68" s="834"/>
      <c r="BB68" s="834"/>
      <c r="BC68" s="834"/>
      <c r="BD68" s="834"/>
    </row>
    <row r="69" spans="1:56" s="835" customFormat="1">
      <c r="A69" s="880"/>
      <c r="B69" s="881"/>
      <c r="C69" s="890"/>
      <c r="D69" s="890"/>
      <c r="E69" s="890"/>
      <c r="F69" s="886"/>
      <c r="G69" s="881"/>
      <c r="H69" s="881"/>
      <c r="I69" s="881"/>
      <c r="J69" s="834"/>
      <c r="K69" s="834"/>
      <c r="L69" s="834"/>
      <c r="M69" s="834"/>
      <c r="N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4"/>
      <c r="AC69" s="834"/>
      <c r="AD69" s="834"/>
      <c r="AE69" s="834"/>
      <c r="AF69" s="834"/>
      <c r="AG69" s="834"/>
      <c r="AH69" s="834"/>
      <c r="AI69" s="834"/>
      <c r="AJ69" s="834"/>
      <c r="AK69" s="834"/>
      <c r="AL69" s="834"/>
      <c r="AM69" s="834"/>
      <c r="AN69" s="834"/>
      <c r="AO69" s="834"/>
      <c r="AP69" s="834"/>
      <c r="AQ69" s="834"/>
      <c r="AR69" s="834"/>
      <c r="AS69" s="834"/>
      <c r="AT69" s="834"/>
      <c r="AU69" s="834"/>
      <c r="AV69" s="834"/>
      <c r="AW69" s="834"/>
      <c r="AX69" s="834"/>
      <c r="AY69" s="834"/>
      <c r="AZ69" s="834"/>
      <c r="BA69" s="834"/>
      <c r="BB69" s="834"/>
      <c r="BC69" s="834"/>
      <c r="BD69" s="834"/>
    </row>
    <row r="70" spans="1:56" s="835" customFormat="1">
      <c r="A70" s="876"/>
      <c r="B70" s="881"/>
      <c r="C70" s="890"/>
      <c r="D70" s="890"/>
      <c r="E70" s="890"/>
      <c r="F70" s="886"/>
      <c r="G70" s="881"/>
      <c r="H70" s="881"/>
      <c r="I70" s="881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4"/>
      <c r="AJ70" s="834"/>
      <c r="AK70" s="834"/>
      <c r="AL70" s="834"/>
      <c r="AM70" s="834"/>
      <c r="AN70" s="834"/>
      <c r="AO70" s="834"/>
      <c r="AP70" s="834"/>
      <c r="AQ70" s="834"/>
      <c r="AR70" s="834"/>
      <c r="AS70" s="834"/>
      <c r="AT70" s="834"/>
      <c r="AU70" s="834"/>
      <c r="AV70" s="834"/>
      <c r="AW70" s="834"/>
      <c r="AX70" s="834"/>
      <c r="AY70" s="834"/>
      <c r="AZ70" s="834"/>
      <c r="BA70" s="834"/>
      <c r="BB70" s="834"/>
      <c r="BC70" s="834"/>
      <c r="BD70" s="834"/>
    </row>
    <row r="71" spans="1:56" s="835" customFormat="1">
      <c r="A71" s="884"/>
      <c r="B71" s="884"/>
      <c r="C71" s="890"/>
      <c r="D71" s="890"/>
      <c r="E71" s="890"/>
      <c r="F71" s="886"/>
      <c r="G71" s="884"/>
      <c r="H71" s="884"/>
      <c r="I71" s="88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4"/>
      <c r="AC71" s="834"/>
      <c r="AD71" s="834"/>
      <c r="AE71" s="834"/>
      <c r="AF71" s="834"/>
      <c r="AG71" s="834"/>
      <c r="AH71" s="834"/>
      <c r="AI71" s="834"/>
      <c r="AJ71" s="834"/>
      <c r="AK71" s="834"/>
      <c r="AL71" s="834"/>
      <c r="AM71" s="834"/>
      <c r="AN71" s="834"/>
      <c r="AO71" s="834"/>
      <c r="AP71" s="834"/>
      <c r="AQ71" s="834"/>
      <c r="AR71" s="834"/>
      <c r="AS71" s="834"/>
      <c r="AT71" s="834"/>
      <c r="AU71" s="834"/>
      <c r="AV71" s="834"/>
      <c r="AW71" s="834"/>
      <c r="AX71" s="834"/>
      <c r="AY71" s="834"/>
      <c r="AZ71" s="834"/>
      <c r="BA71" s="834"/>
      <c r="BB71" s="834"/>
      <c r="BC71" s="834"/>
      <c r="BD71" s="834"/>
    </row>
    <row r="72" spans="1:56" s="835" customFormat="1">
      <c r="A72" s="876"/>
      <c r="B72" s="881"/>
      <c r="C72" s="890"/>
      <c r="D72" s="890"/>
      <c r="E72" s="890"/>
      <c r="F72" s="886"/>
      <c r="G72" s="881"/>
      <c r="H72" s="881"/>
      <c r="I72" s="881"/>
      <c r="J72" s="834"/>
      <c r="K72" s="834"/>
      <c r="L72" s="834"/>
      <c r="M72" s="834"/>
      <c r="N72" s="834"/>
      <c r="O72" s="834"/>
      <c r="P72" s="834"/>
      <c r="Q72" s="834"/>
      <c r="R72" s="834"/>
      <c r="S72" s="834"/>
      <c r="T72" s="834"/>
      <c r="U72" s="834"/>
      <c r="V72" s="834"/>
      <c r="W72" s="834"/>
      <c r="X72" s="834"/>
      <c r="Y72" s="834"/>
      <c r="Z72" s="834"/>
      <c r="AA72" s="834"/>
      <c r="AB72" s="834"/>
      <c r="AC72" s="834"/>
      <c r="AD72" s="834"/>
      <c r="AE72" s="834"/>
      <c r="AF72" s="834"/>
      <c r="AG72" s="834"/>
      <c r="AH72" s="834"/>
      <c r="AI72" s="834"/>
      <c r="AJ72" s="834"/>
      <c r="AK72" s="834"/>
      <c r="AL72" s="834"/>
      <c r="AM72" s="834"/>
      <c r="AN72" s="834"/>
      <c r="AO72" s="834"/>
      <c r="AP72" s="834"/>
      <c r="AQ72" s="834"/>
      <c r="AR72" s="834"/>
      <c r="AS72" s="834"/>
      <c r="AT72" s="834"/>
      <c r="AU72" s="834"/>
      <c r="AV72" s="834"/>
      <c r="AW72" s="834"/>
      <c r="AX72" s="834"/>
      <c r="AY72" s="834"/>
      <c r="AZ72" s="834"/>
      <c r="BA72" s="834"/>
      <c r="BB72" s="834"/>
      <c r="BC72" s="834"/>
      <c r="BD72" s="834"/>
    </row>
    <row r="73" spans="1:56" s="835" customFormat="1">
      <c r="A73" s="876"/>
      <c r="B73" s="881"/>
      <c r="C73" s="887"/>
      <c r="D73" s="887"/>
      <c r="E73" s="887"/>
      <c r="F73" s="886"/>
      <c r="G73" s="881"/>
      <c r="H73" s="881"/>
      <c r="I73" s="881"/>
      <c r="J73" s="834"/>
      <c r="K73" s="834"/>
      <c r="L73" s="834"/>
      <c r="M73" s="834"/>
      <c r="N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4"/>
      <c r="AC73" s="834"/>
      <c r="AD73" s="834"/>
      <c r="AE73" s="834"/>
      <c r="AF73" s="834"/>
      <c r="AG73" s="834"/>
      <c r="AH73" s="834"/>
      <c r="AI73" s="834"/>
      <c r="AJ73" s="834"/>
      <c r="AK73" s="834"/>
      <c r="AL73" s="834"/>
      <c r="AM73" s="834"/>
      <c r="AN73" s="834"/>
      <c r="AO73" s="834"/>
      <c r="AP73" s="834"/>
      <c r="AQ73" s="834"/>
      <c r="AR73" s="834"/>
      <c r="AS73" s="834"/>
      <c r="AT73" s="834"/>
      <c r="AU73" s="834"/>
      <c r="AV73" s="834"/>
      <c r="AW73" s="834"/>
      <c r="AX73" s="834"/>
      <c r="AY73" s="834"/>
      <c r="AZ73" s="834"/>
      <c r="BA73" s="834"/>
      <c r="BB73" s="834"/>
      <c r="BC73" s="834"/>
      <c r="BD73" s="834"/>
    </row>
    <row r="74" spans="1:56" s="835" customFormat="1">
      <c r="A74" s="884"/>
      <c r="B74" s="884"/>
      <c r="C74" s="888"/>
      <c r="D74" s="888"/>
      <c r="E74" s="888"/>
      <c r="F74" s="886"/>
      <c r="G74" s="884"/>
      <c r="H74" s="884"/>
      <c r="I74" s="884"/>
      <c r="J74" s="834"/>
      <c r="K74" s="834"/>
      <c r="L74" s="834"/>
      <c r="M74" s="834"/>
      <c r="N74" s="834"/>
      <c r="O74" s="834"/>
      <c r="P74" s="834"/>
      <c r="Q74" s="834"/>
      <c r="R74" s="834"/>
      <c r="S74" s="834"/>
      <c r="T74" s="834"/>
      <c r="U74" s="834"/>
      <c r="V74" s="834"/>
      <c r="W74" s="834"/>
      <c r="X74" s="834"/>
      <c r="Y74" s="834"/>
      <c r="Z74" s="834"/>
      <c r="AA74" s="834"/>
      <c r="AB74" s="834"/>
      <c r="AC74" s="834"/>
      <c r="AD74" s="834"/>
      <c r="AE74" s="834"/>
      <c r="AF74" s="834"/>
      <c r="AG74" s="834"/>
      <c r="AH74" s="834"/>
      <c r="AI74" s="834"/>
      <c r="AJ74" s="834"/>
      <c r="AK74" s="834"/>
      <c r="AL74" s="834"/>
      <c r="AM74" s="834"/>
      <c r="AN74" s="834"/>
      <c r="AO74" s="834"/>
      <c r="AP74" s="834"/>
      <c r="AQ74" s="834"/>
      <c r="AR74" s="834"/>
      <c r="AS74" s="834"/>
      <c r="AT74" s="834"/>
      <c r="AU74" s="834"/>
      <c r="AV74" s="834"/>
      <c r="AW74" s="834"/>
      <c r="AX74" s="834"/>
      <c r="AY74" s="834"/>
      <c r="AZ74" s="834"/>
      <c r="BA74" s="834"/>
      <c r="BB74" s="834"/>
      <c r="BC74" s="834"/>
      <c r="BD74" s="834"/>
    </row>
    <row r="75" spans="1:56" s="835" customFormat="1">
      <c r="C75" s="888"/>
      <c r="D75" s="888"/>
      <c r="E75" s="888"/>
      <c r="F75" s="886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4"/>
      <c r="AC75" s="834"/>
      <c r="AD75" s="834"/>
      <c r="AE75" s="834"/>
      <c r="AF75" s="834"/>
      <c r="AG75" s="834"/>
      <c r="AH75" s="834"/>
      <c r="AI75" s="834"/>
      <c r="AJ75" s="834"/>
      <c r="AK75" s="834"/>
      <c r="AL75" s="834"/>
      <c r="AM75" s="834"/>
      <c r="AN75" s="834"/>
      <c r="AO75" s="834"/>
      <c r="AP75" s="834"/>
      <c r="AQ75" s="834"/>
      <c r="AR75" s="834"/>
      <c r="AS75" s="834"/>
      <c r="AT75" s="834"/>
      <c r="AU75" s="834"/>
      <c r="AV75" s="834"/>
      <c r="AW75" s="834"/>
      <c r="AX75" s="834"/>
      <c r="AY75" s="834"/>
      <c r="AZ75" s="834"/>
      <c r="BA75" s="834"/>
      <c r="BB75" s="834"/>
      <c r="BC75" s="834"/>
      <c r="BD75" s="834"/>
    </row>
    <row r="76" spans="1:56" s="835" customFormat="1">
      <c r="C76" s="892"/>
      <c r="D76" s="892"/>
      <c r="E76" s="892"/>
      <c r="F76" s="886"/>
      <c r="J76" s="834"/>
      <c r="K76" s="834"/>
      <c r="L76" s="834"/>
      <c r="M76" s="834"/>
      <c r="N76" s="834"/>
      <c r="O76" s="834"/>
      <c r="P76" s="834"/>
      <c r="Q76" s="834"/>
      <c r="R76" s="834"/>
      <c r="S76" s="834"/>
      <c r="T76" s="834"/>
      <c r="U76" s="834"/>
      <c r="V76" s="834"/>
      <c r="W76" s="834"/>
      <c r="X76" s="834"/>
      <c r="Y76" s="834"/>
      <c r="Z76" s="834"/>
      <c r="AA76" s="834"/>
      <c r="AB76" s="834"/>
      <c r="AC76" s="834"/>
      <c r="AD76" s="834"/>
      <c r="AE76" s="834"/>
      <c r="AF76" s="834"/>
      <c r="AG76" s="834"/>
      <c r="AH76" s="834"/>
      <c r="AI76" s="834"/>
      <c r="AJ76" s="834"/>
      <c r="AK76" s="834"/>
      <c r="AL76" s="834"/>
      <c r="AM76" s="834"/>
      <c r="AN76" s="834"/>
      <c r="AO76" s="834"/>
      <c r="AP76" s="834"/>
      <c r="AQ76" s="834"/>
      <c r="AR76" s="834"/>
      <c r="AS76" s="834"/>
      <c r="AT76" s="834"/>
      <c r="AU76" s="834"/>
      <c r="AV76" s="834"/>
      <c r="AW76" s="834"/>
      <c r="AX76" s="834"/>
      <c r="AY76" s="834"/>
      <c r="AZ76" s="834"/>
      <c r="BA76" s="834"/>
      <c r="BB76" s="834"/>
      <c r="BC76" s="834"/>
      <c r="BD76" s="834"/>
    </row>
    <row r="77" spans="1:56" s="835" customFormat="1">
      <c r="C77" s="886"/>
      <c r="D77" s="886"/>
      <c r="E77" s="886"/>
      <c r="F77" s="886"/>
      <c r="J77" s="834"/>
      <c r="K77" s="834"/>
      <c r="L77" s="834"/>
      <c r="M77" s="834"/>
      <c r="N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4"/>
      <c r="AC77" s="834"/>
      <c r="AD77" s="834"/>
      <c r="AE77" s="834"/>
      <c r="AF77" s="834"/>
      <c r="AG77" s="834"/>
      <c r="AH77" s="834"/>
      <c r="AI77" s="834"/>
      <c r="AJ77" s="834"/>
      <c r="AK77" s="834"/>
      <c r="AL77" s="834"/>
      <c r="AM77" s="834"/>
      <c r="AN77" s="834"/>
      <c r="AO77" s="834"/>
      <c r="AP77" s="834"/>
      <c r="AQ77" s="834"/>
      <c r="AR77" s="834"/>
      <c r="AS77" s="834"/>
      <c r="AT77" s="834"/>
      <c r="AU77" s="834"/>
      <c r="AV77" s="834"/>
      <c r="AW77" s="834"/>
      <c r="AX77" s="834"/>
      <c r="AY77" s="834"/>
      <c r="AZ77" s="834"/>
      <c r="BA77" s="834"/>
      <c r="BB77" s="834"/>
      <c r="BC77" s="834"/>
      <c r="BD77" s="834"/>
    </row>
    <row r="78" spans="1:56">
      <c r="C78" s="886"/>
      <c r="D78" s="886"/>
      <c r="E78" s="886"/>
      <c r="F78" s="886"/>
    </row>
    <row r="79" spans="1:56">
      <c r="C79" s="886"/>
      <c r="D79" s="886"/>
      <c r="E79" s="886"/>
      <c r="F79" s="886"/>
    </row>
  </sheetData>
  <pageMargins left="0.7" right="0.7" top="0.75" bottom="0.75" header="0.3" footer="0.3"/>
  <pageSetup scale="63" orientation="landscape" r:id="rId1"/>
  <headerFooter>
    <oddFooter>&amp;L&amp;P of &amp;N&amp;C&amp;A&amp;R&amp;D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5"/>
  <sheetViews>
    <sheetView zoomScaleNormal="100" workbookViewId="0">
      <pane xSplit="3" ySplit="2" topLeftCell="D3" activePane="bottomRight" state="frozen"/>
      <selection activeCell="M26" sqref="M26"/>
      <selection pane="topRight" activeCell="M26" sqref="M26"/>
      <selection pane="bottomLeft" activeCell="M26" sqref="M26"/>
      <selection pane="bottomRight" activeCell="M26" sqref="M26"/>
    </sheetView>
  </sheetViews>
  <sheetFormatPr defaultRowHeight="12.75"/>
  <cols>
    <col min="1" max="1" width="22.140625" style="506" customWidth="1"/>
    <col min="2" max="2" width="19.85546875" style="506" customWidth="1"/>
    <col min="3" max="3" width="14.42578125" style="506" customWidth="1"/>
    <col min="4" max="7" width="13.7109375" style="506" customWidth="1"/>
    <col min="8" max="10" width="14.28515625" style="506" customWidth="1"/>
    <col min="11" max="11" width="51" style="506" customWidth="1"/>
    <col min="12" max="12" width="54.5703125" style="506" customWidth="1"/>
    <col min="13" max="13" width="15.5703125" style="506" customWidth="1"/>
    <col min="14" max="14" width="9.140625" style="506"/>
    <col min="15" max="15" width="11.85546875" style="506" customWidth="1"/>
    <col min="16" max="16" width="12.140625" style="506" customWidth="1"/>
    <col min="17" max="16384" width="9.140625" style="506"/>
  </cols>
  <sheetData>
    <row r="1" spans="2:15" ht="29.25" customHeight="1" thickBot="1">
      <c r="C1" s="762" t="s">
        <v>548</v>
      </c>
      <c r="D1" s="762" t="s">
        <v>548</v>
      </c>
      <c r="E1" s="762" t="s">
        <v>548</v>
      </c>
      <c r="F1" s="763" t="s">
        <v>547</v>
      </c>
      <c r="G1" s="763" t="s">
        <v>677</v>
      </c>
      <c r="H1" s="1058" t="s">
        <v>678</v>
      </c>
      <c r="I1" s="1058" t="s">
        <v>679</v>
      </c>
      <c r="J1" s="1058" t="s">
        <v>680</v>
      </c>
    </row>
    <row r="2" spans="2:15" ht="40.5" customHeight="1" thickBot="1">
      <c r="B2" s="507" t="s">
        <v>410</v>
      </c>
      <c r="C2" s="760" t="s">
        <v>546</v>
      </c>
      <c r="D2" s="760" t="s">
        <v>545</v>
      </c>
      <c r="E2" s="760" t="s">
        <v>544</v>
      </c>
      <c r="F2" s="760" t="s">
        <v>543</v>
      </c>
      <c r="G2" s="761" t="s">
        <v>681</v>
      </c>
      <c r="H2" s="1059"/>
      <c r="I2" s="1059"/>
      <c r="J2" s="1059"/>
      <c r="K2" s="416" t="s">
        <v>592</v>
      </c>
    </row>
    <row r="3" spans="2:15">
      <c r="B3" s="804" t="s">
        <v>409</v>
      </c>
      <c r="C3" s="805">
        <v>0</v>
      </c>
      <c r="D3" s="805">
        <v>0</v>
      </c>
      <c r="E3" s="805">
        <v>0</v>
      </c>
      <c r="F3" s="805">
        <v>85941</v>
      </c>
      <c r="G3" s="805">
        <v>92428.726278514747</v>
      </c>
      <c r="H3" s="806">
        <v>-92428.726278514747</v>
      </c>
      <c r="I3" s="806">
        <v>-92428.726278514747</v>
      </c>
      <c r="J3" s="806">
        <v>-92428.726278514747</v>
      </c>
      <c r="K3" s="704"/>
    </row>
    <row r="4" spans="2:15" ht="24">
      <c r="B4" s="807" t="s">
        <v>408</v>
      </c>
      <c r="C4" s="808">
        <v>23201829.02333333</v>
      </c>
      <c r="D4" s="823">
        <v>24381161.273333333</v>
      </c>
      <c r="E4" s="823">
        <v>25054763.450833336</v>
      </c>
      <c r="F4" s="808">
        <v>19475528.239999998</v>
      </c>
      <c r="G4" s="808">
        <v>23881399.535659947</v>
      </c>
      <c r="H4" s="809">
        <v>-679570.51232661679</v>
      </c>
      <c r="I4" s="809">
        <v>499761.73767338693</v>
      </c>
      <c r="J4" s="809">
        <v>1173363.915173389</v>
      </c>
      <c r="K4" s="415" t="s">
        <v>682</v>
      </c>
    </row>
    <row r="5" spans="2:15">
      <c r="B5" s="807" t="s">
        <v>593</v>
      </c>
      <c r="C5" s="808">
        <v>11434705.975551268</v>
      </c>
      <c r="D5" s="808">
        <v>10983031.693277512</v>
      </c>
      <c r="E5" s="808">
        <v>11489384.766227605</v>
      </c>
      <c r="F5" s="808">
        <v>8477269.8100000508</v>
      </c>
      <c r="G5" s="808">
        <v>9388152.0685386993</v>
      </c>
      <c r="H5" s="809">
        <v>2046553.9070125688</v>
      </c>
      <c r="I5" s="809">
        <v>1594879.6247388124</v>
      </c>
      <c r="J5" s="809">
        <v>2101232.6976889055</v>
      </c>
      <c r="K5" s="415"/>
    </row>
    <row r="6" spans="2:15" ht="13.5" customHeight="1">
      <c r="B6" s="807" t="s">
        <v>407</v>
      </c>
      <c r="C6" s="808">
        <v>3020665.2531234017</v>
      </c>
      <c r="D6" s="808">
        <v>3128638.8222019719</v>
      </c>
      <c r="E6" s="808">
        <v>3226891.8728110148</v>
      </c>
      <c r="F6" s="808">
        <v>2902781.6621917998</v>
      </c>
      <c r="G6" s="808">
        <v>3184358.9919712264</v>
      </c>
      <c r="H6" s="809">
        <v>-163693.73884782474</v>
      </c>
      <c r="I6" s="809">
        <v>-55720.169769254513</v>
      </c>
      <c r="J6" s="809">
        <v>42532.880839788355</v>
      </c>
      <c r="K6" s="413"/>
      <c r="O6" s="508" t="e">
        <f>#REF!+#REF!</f>
        <v>#REF!</v>
      </c>
    </row>
    <row r="7" spans="2:15" ht="23.25" customHeight="1">
      <c r="B7" s="807" t="s">
        <v>406</v>
      </c>
      <c r="C7" s="808">
        <v>4240999.9850407224</v>
      </c>
      <c r="D7" s="808">
        <v>4651430.1937515326</v>
      </c>
      <c r="E7" s="808">
        <v>4675755.7256745761</v>
      </c>
      <c r="F7" s="808">
        <v>3477531.4300000193</v>
      </c>
      <c r="G7" s="808">
        <v>3851192.0252262</v>
      </c>
      <c r="H7" s="809">
        <v>389807.95981452242</v>
      </c>
      <c r="I7" s="809">
        <v>800238.16852533258</v>
      </c>
      <c r="J7" s="809">
        <v>824563.70044837613</v>
      </c>
      <c r="K7" s="413" t="s">
        <v>1375</v>
      </c>
    </row>
    <row r="8" spans="2:15" ht="13.5" customHeight="1">
      <c r="B8" s="807" t="s">
        <v>405</v>
      </c>
      <c r="C8" s="808">
        <v>273658.11033155606</v>
      </c>
      <c r="D8" s="808">
        <v>304021.43912758306</v>
      </c>
      <c r="E8" s="808">
        <v>308738.3783507935</v>
      </c>
      <c r="F8" s="808">
        <v>539310.87848059996</v>
      </c>
      <c r="G8" s="808">
        <v>591625.42871408234</v>
      </c>
      <c r="H8" s="809">
        <v>-317967.31838252628</v>
      </c>
      <c r="I8" s="809">
        <v>-287603.98958649929</v>
      </c>
      <c r="J8" s="809">
        <v>-282887.05036328884</v>
      </c>
      <c r="K8" s="413"/>
    </row>
    <row r="9" spans="2:15">
      <c r="B9" s="807" t="s">
        <v>186</v>
      </c>
      <c r="C9" s="808">
        <v>0</v>
      </c>
      <c r="D9" s="808">
        <v>0</v>
      </c>
      <c r="E9" s="808">
        <v>0</v>
      </c>
      <c r="F9" s="808">
        <v>0</v>
      </c>
      <c r="G9" s="808">
        <v>0</v>
      </c>
      <c r="H9" s="809">
        <v>0</v>
      </c>
      <c r="I9" s="809">
        <v>0</v>
      </c>
      <c r="J9" s="809">
        <v>0</v>
      </c>
      <c r="K9" s="413"/>
    </row>
    <row r="10" spans="2:15">
      <c r="B10" s="807" t="s">
        <v>126</v>
      </c>
      <c r="C10" s="808">
        <v>7176899.2833568044</v>
      </c>
      <c r="D10" s="808">
        <v>7362665.1516087856</v>
      </c>
      <c r="E10" s="808">
        <v>7592350.0481380643</v>
      </c>
      <c r="F10" s="808">
        <v>7410351.5930945007</v>
      </c>
      <c r="G10" s="808">
        <v>8058524.8662598887</v>
      </c>
      <c r="H10" s="809">
        <v>-881625.58290308435</v>
      </c>
      <c r="I10" s="809">
        <v>-695859.71465110313</v>
      </c>
      <c r="J10" s="809">
        <v>-466174.81812182441</v>
      </c>
      <c r="K10" s="413"/>
    </row>
    <row r="11" spans="2:15">
      <c r="B11" s="807" t="s">
        <v>133</v>
      </c>
      <c r="C11" s="808">
        <v>11223402.184653513</v>
      </c>
      <c r="D11" s="808">
        <v>11549765.377402794</v>
      </c>
      <c r="E11" s="808">
        <v>11878874.776237126</v>
      </c>
      <c r="F11" s="808">
        <v>11020648.530582599</v>
      </c>
      <c r="G11" s="808">
        <v>11984609.516877726</v>
      </c>
      <c r="H11" s="809">
        <v>-761207.33222421259</v>
      </c>
      <c r="I11" s="809">
        <v>-434844.1394749321</v>
      </c>
      <c r="J11" s="809">
        <v>-105734.74064059928</v>
      </c>
      <c r="K11" s="413"/>
    </row>
    <row r="12" spans="2:15">
      <c r="B12" s="810" t="s">
        <v>127</v>
      </c>
      <c r="C12" s="808">
        <v>12618921.287204534</v>
      </c>
      <c r="D12" s="808">
        <v>12413257.487876128</v>
      </c>
      <c r="E12" s="808">
        <v>12634161.702709019</v>
      </c>
      <c r="F12" s="808">
        <v>13006448.853721112</v>
      </c>
      <c r="G12" s="808">
        <v>14144105.066097148</v>
      </c>
      <c r="H12" s="809">
        <v>-1525183.7788926139</v>
      </c>
      <c r="I12" s="809">
        <v>-1730847.5782210194</v>
      </c>
      <c r="J12" s="809">
        <v>-1509943.3633881286</v>
      </c>
      <c r="K12" s="413"/>
    </row>
    <row r="13" spans="2:15">
      <c r="B13" s="811" t="s">
        <v>404</v>
      </c>
      <c r="C13" s="808">
        <v>190751.05893743999</v>
      </c>
      <c r="D13" s="808">
        <v>86663.270705563205</v>
      </c>
      <c r="E13" s="808">
        <v>87602.8488267301</v>
      </c>
      <c r="F13" s="808">
        <v>144213.31</v>
      </c>
      <c r="G13" s="808">
        <v>158202.37410266884</v>
      </c>
      <c r="H13" s="809">
        <v>32548.684834771149</v>
      </c>
      <c r="I13" s="809">
        <v>-71539.103397105631</v>
      </c>
      <c r="J13" s="809">
        <v>-70599.525275938737</v>
      </c>
      <c r="K13" s="413"/>
    </row>
    <row r="14" spans="2:15" ht="33.75">
      <c r="B14" s="807" t="s">
        <v>403</v>
      </c>
      <c r="C14" s="808">
        <v>6839685.0730237532</v>
      </c>
      <c r="D14" s="808">
        <v>6713166.3966096668</v>
      </c>
      <c r="E14" s="808">
        <v>6887208.0615893565</v>
      </c>
      <c r="F14" s="808">
        <v>5830116.1099999482</v>
      </c>
      <c r="G14" s="808">
        <v>6450434.9980711676</v>
      </c>
      <c r="H14" s="809">
        <v>389250.07495258562</v>
      </c>
      <c r="I14" s="809">
        <v>262731.39853849914</v>
      </c>
      <c r="J14" s="809">
        <v>436773.06351818889</v>
      </c>
      <c r="K14" s="413" t="s">
        <v>1376</v>
      </c>
    </row>
    <row r="15" spans="2:15">
      <c r="B15" s="807" t="s">
        <v>402</v>
      </c>
      <c r="C15" s="808">
        <v>8119947.3799999999</v>
      </c>
      <c r="D15" s="808">
        <v>8084920.3800000008</v>
      </c>
      <c r="E15" s="808">
        <v>8257271.3800000036</v>
      </c>
      <c r="F15" s="808">
        <v>7272075.5700000003</v>
      </c>
      <c r="G15" s="808">
        <v>8045817.5927042989</v>
      </c>
      <c r="H15" s="809">
        <v>74129.787295700982</v>
      </c>
      <c r="I15" s="809">
        <v>39102.787295701914</v>
      </c>
      <c r="J15" s="809">
        <v>211453.78729570471</v>
      </c>
      <c r="K15" s="413"/>
    </row>
    <row r="16" spans="2:15">
      <c r="B16" s="807" t="s">
        <v>401</v>
      </c>
      <c r="C16" s="808">
        <v>4766703.8600000003</v>
      </c>
      <c r="D16" s="808">
        <v>4740771.4000000004</v>
      </c>
      <c r="E16" s="808">
        <v>4553298.96</v>
      </c>
      <c r="F16" s="808">
        <v>4407443.320302804</v>
      </c>
      <c r="G16" s="808">
        <v>4876391.1573789306</v>
      </c>
      <c r="H16" s="809">
        <v>-109687.29737893026</v>
      </c>
      <c r="I16" s="809">
        <v>-135619.75737893023</v>
      </c>
      <c r="J16" s="809">
        <v>-323092.19737893064</v>
      </c>
      <c r="K16" s="413"/>
    </row>
    <row r="17" spans="2:11">
      <c r="B17" s="807" t="s">
        <v>542</v>
      </c>
      <c r="C17" s="808">
        <v>2905409.0294399038</v>
      </c>
      <c r="D17" s="808">
        <v>2066274.5687709688</v>
      </c>
      <c r="E17" s="808">
        <v>2001055.4726713675</v>
      </c>
      <c r="F17" s="808">
        <v>1839368.9000000004</v>
      </c>
      <c r="G17" s="808">
        <v>2055171.5062742759</v>
      </c>
      <c r="H17" s="809">
        <v>850237.52316562785</v>
      </c>
      <c r="I17" s="809">
        <v>11103.062496692874</v>
      </c>
      <c r="J17" s="809">
        <v>-54116.033602908487</v>
      </c>
      <c r="K17" s="413" t="s">
        <v>1377</v>
      </c>
    </row>
    <row r="18" spans="2:11">
      <c r="B18" s="807" t="s">
        <v>400</v>
      </c>
      <c r="C18" s="808">
        <v>3953298.9457333679</v>
      </c>
      <c r="D18" s="808">
        <v>3543757.0990021727</v>
      </c>
      <c r="E18" s="808">
        <v>3428075.9288178375</v>
      </c>
      <c r="F18" s="808">
        <v>4529311.4566666642</v>
      </c>
      <c r="G18" s="808">
        <v>5060709.5992451329</v>
      </c>
      <c r="H18" s="809">
        <v>-1107410.6535117649</v>
      </c>
      <c r="I18" s="809">
        <v>-1516952.5002429602</v>
      </c>
      <c r="J18" s="809">
        <v>-1632633.6704272954</v>
      </c>
      <c r="K18" s="413"/>
    </row>
    <row r="19" spans="2:11" ht="22.5">
      <c r="B19" s="807" t="s">
        <v>399</v>
      </c>
      <c r="C19" s="808">
        <v>10214761.512706257</v>
      </c>
      <c r="D19" s="808">
        <v>10352464.283671392</v>
      </c>
      <c r="E19" s="808">
        <v>10476445.896839805</v>
      </c>
      <c r="F19" s="808">
        <v>7965311.0400000047</v>
      </c>
      <c r="G19" s="808">
        <v>8812812.6667685062</v>
      </c>
      <c r="H19" s="809">
        <v>1401948.8459377512</v>
      </c>
      <c r="I19" s="809">
        <v>1539651.616902886</v>
      </c>
      <c r="J19" s="809">
        <v>1663633.2300712988</v>
      </c>
      <c r="K19" s="720" t="s">
        <v>1378</v>
      </c>
    </row>
    <row r="20" spans="2:11" ht="22.5">
      <c r="B20" s="807" t="s">
        <v>398</v>
      </c>
      <c r="C20" s="808">
        <v>9300779.7400515489</v>
      </c>
      <c r="D20" s="808">
        <v>9175561.7167535573</v>
      </c>
      <c r="E20" s="808">
        <v>9202351.5486958828</v>
      </c>
      <c r="F20" s="808">
        <v>6969303.4199999999</v>
      </c>
      <c r="G20" s="808">
        <v>7710830.7698087133</v>
      </c>
      <c r="H20" s="809">
        <v>1589948.9702428356</v>
      </c>
      <c r="I20" s="809">
        <v>1464730.946944844</v>
      </c>
      <c r="J20" s="809">
        <v>1491520.7788871694</v>
      </c>
      <c r="K20" s="720" t="s">
        <v>1379</v>
      </c>
    </row>
    <row r="21" spans="2:11" ht="33.75">
      <c r="B21" s="807" t="s">
        <v>287</v>
      </c>
      <c r="C21" s="808">
        <v>6192063.3433095505</v>
      </c>
      <c r="D21" s="808">
        <v>6275290.9611506052</v>
      </c>
      <c r="E21" s="808">
        <v>7050340.2072950853</v>
      </c>
      <c r="F21" s="808">
        <v>4832919.2500000009</v>
      </c>
      <c r="G21" s="808">
        <v>5347137.3270904096</v>
      </c>
      <c r="H21" s="809">
        <v>844926.01621914096</v>
      </c>
      <c r="I21" s="809">
        <v>928153.63406019565</v>
      </c>
      <c r="J21" s="809">
        <v>1703202.8802046757</v>
      </c>
      <c r="K21" s="413" t="s">
        <v>1380</v>
      </c>
    </row>
    <row r="22" spans="2:11">
      <c r="B22" s="807" t="s">
        <v>541</v>
      </c>
      <c r="C22" s="808">
        <v>1843946.4721721839</v>
      </c>
      <c r="D22" s="808">
        <v>1646100.1501373495</v>
      </c>
      <c r="E22" s="808">
        <v>1645636.85844147</v>
      </c>
      <c r="F22" s="808">
        <v>1599041.6656115097</v>
      </c>
      <c r="G22" s="808">
        <v>1786648.0554880172</v>
      </c>
      <c r="H22" s="809">
        <v>57298.416684166761</v>
      </c>
      <c r="I22" s="809">
        <v>-140547.90535066766</v>
      </c>
      <c r="J22" s="809">
        <v>-141011.1970465472</v>
      </c>
      <c r="K22" s="413"/>
    </row>
    <row r="23" spans="2:11" ht="38.25">
      <c r="B23" s="812" t="s">
        <v>397</v>
      </c>
      <c r="C23" s="808">
        <v>2854934.1150636412</v>
      </c>
      <c r="D23" s="808">
        <v>2929702.1503802389</v>
      </c>
      <c r="E23" s="808">
        <v>3006713.2267563352</v>
      </c>
      <c r="F23" s="808">
        <v>1290296.92</v>
      </c>
      <c r="G23" s="808">
        <v>1415459.0588161477</v>
      </c>
      <c r="H23" s="809">
        <v>1439475.0562474935</v>
      </c>
      <c r="I23" s="809">
        <v>1514243.0915640912</v>
      </c>
      <c r="J23" s="809">
        <v>1591254.1679401875</v>
      </c>
      <c r="K23" s="413"/>
    </row>
    <row r="24" spans="2:11" ht="13.5" thickBot="1">
      <c r="B24" s="813" t="s">
        <v>396</v>
      </c>
      <c r="C24" s="814">
        <v>33617.123017543985</v>
      </c>
      <c r="D24" s="814">
        <v>33958.136708070313</v>
      </c>
      <c r="E24" s="814">
        <v>34309.380809312424</v>
      </c>
      <c r="F24" s="814">
        <v>66784.149999999994</v>
      </c>
      <c r="G24" s="814">
        <v>73262.385298754671</v>
      </c>
      <c r="H24" s="809">
        <v>-39645.262281210686</v>
      </c>
      <c r="I24" s="809">
        <v>-39304.248590684358</v>
      </c>
      <c r="J24" s="809">
        <v>-38953.004489442246</v>
      </c>
      <c r="K24" s="414"/>
    </row>
    <row r="25" spans="2:11" ht="13.5" thickBot="1">
      <c r="B25" s="815" t="s">
        <v>395</v>
      </c>
      <c r="C25" s="816">
        <v>130406978.75605032</v>
      </c>
      <c r="D25" s="816">
        <v>130422601.95246923</v>
      </c>
      <c r="E25" s="816">
        <v>133491230.49172474</v>
      </c>
      <c r="F25" s="816">
        <v>113141997.11065163</v>
      </c>
      <c r="G25" s="816">
        <v>126969273.71667045</v>
      </c>
      <c r="H25" s="817">
        <v>3437705.0393798654</v>
      </c>
      <c r="I25" s="817">
        <v>3453328.2357987715</v>
      </c>
      <c r="J25" s="817">
        <v>6521956.7750542657</v>
      </c>
    </row>
    <row r="26" spans="2:11">
      <c r="B26" s="818"/>
      <c r="C26" s="721">
        <v>0</v>
      </c>
      <c r="D26" s="721">
        <v>0</v>
      </c>
      <c r="E26" s="721">
        <v>0</v>
      </c>
      <c r="F26" s="818"/>
      <c r="G26" s="818"/>
      <c r="H26" s="818"/>
      <c r="I26" s="818"/>
      <c r="J26" s="818"/>
    </row>
    <row r="27" spans="2:11" ht="16.5" thickBot="1">
      <c r="B27" s="819" t="s">
        <v>1453</v>
      </c>
      <c r="C27" s="816">
        <v>130406978.75605032</v>
      </c>
      <c r="D27" s="816">
        <v>131167884.20246923</v>
      </c>
      <c r="E27" s="816">
        <v>138819998.57922471</v>
      </c>
      <c r="F27" s="818"/>
      <c r="G27" s="818"/>
      <c r="H27" s="818"/>
      <c r="I27" s="818"/>
      <c r="J27" s="818"/>
    </row>
    <row r="28" spans="2:11" ht="13.5" thickBot="1">
      <c r="B28" s="820" t="s">
        <v>1454</v>
      </c>
      <c r="C28" s="816">
        <v>0</v>
      </c>
      <c r="D28" s="824">
        <v>-745282.25</v>
      </c>
      <c r="E28" s="824">
        <v>-5328768.0874999613</v>
      </c>
      <c r="F28" s="818"/>
      <c r="G28" s="818"/>
      <c r="H28" s="818"/>
      <c r="I28" s="818"/>
      <c r="J28" s="818"/>
    </row>
    <row r="32" spans="2:11">
      <c r="B32" s="509" t="s">
        <v>540</v>
      </c>
      <c r="C32" s="821">
        <f>C3+C4</f>
        <v>23201829.02333333</v>
      </c>
      <c r="D32" s="821">
        <f>D3+D4</f>
        <v>24381161.273333333</v>
      </c>
      <c r="E32" s="821">
        <f>E3+E4</f>
        <v>25054763.450833336</v>
      </c>
      <c r="F32" s="821">
        <f>F3+F4</f>
        <v>19561469.239999998</v>
      </c>
      <c r="G32" s="821">
        <f>G3+G4</f>
        <v>23973828.26193846</v>
      </c>
    </row>
    <row r="33" spans="2:7">
      <c r="B33" s="509" t="s">
        <v>67</v>
      </c>
      <c r="C33" s="821">
        <f>SUM(C5:C8)</f>
        <v>18970029.324046947</v>
      </c>
      <c r="D33" s="821">
        <f>SUM(D5:D8)</f>
        <v>19067122.148358598</v>
      </c>
      <c r="E33" s="821">
        <f>SUM(E5:E8)</f>
        <v>19700770.74306399</v>
      </c>
      <c r="F33" s="821">
        <f>SUM(F5:F8)</f>
        <v>15396893.78067247</v>
      </c>
      <c r="G33" s="821">
        <f>SUM(G5:G8)</f>
        <v>17015328.514450207</v>
      </c>
    </row>
    <row r="34" spans="2:7">
      <c r="B34" s="509" t="s">
        <v>68</v>
      </c>
      <c r="C34" s="821">
        <f>SUM(C10:C12)</f>
        <v>31019222.755214851</v>
      </c>
      <c r="D34" s="821">
        <f>SUM(D10:D12)</f>
        <v>31325688.016887706</v>
      </c>
      <c r="E34" s="821">
        <f>SUM(E10:E12)</f>
        <v>32105386.527084209</v>
      </c>
      <c r="F34" s="821">
        <f>SUM(F10:F12)</f>
        <v>31437448.977398213</v>
      </c>
      <c r="G34" s="821">
        <f>SUM(G10:G12)</f>
        <v>34187239.449234761</v>
      </c>
    </row>
    <row r="35" spans="2:7">
      <c r="B35" s="509" t="s">
        <v>539</v>
      </c>
      <c r="C35" s="821">
        <f>SUM(C13:C22)</f>
        <v>54327346.415374011</v>
      </c>
      <c r="D35" s="821">
        <f>SUM(D13:D22)</f>
        <v>52684970.226801276</v>
      </c>
      <c r="E35" s="821">
        <f>SUM(E13:E22)</f>
        <v>53589287.163177535</v>
      </c>
      <c r="F35" s="821">
        <f>SUM(F13:F22)</f>
        <v>45389104.04258094</v>
      </c>
      <c r="G35" s="821">
        <f>SUM(G13:G22)</f>
        <v>50304156.046932131</v>
      </c>
    </row>
    <row r="36" spans="2:7">
      <c r="B36" s="509" t="s">
        <v>180</v>
      </c>
      <c r="C36" s="821">
        <f>SUM(C23:C24)</f>
        <v>2888551.2380811851</v>
      </c>
      <c r="D36" s="821">
        <f>SUM(D23:D24)</f>
        <v>2963660.2870883094</v>
      </c>
      <c r="E36" s="821">
        <f>SUM(E23:E24)</f>
        <v>3041022.6075656475</v>
      </c>
      <c r="F36" s="821">
        <f>SUM(F23:F24)</f>
        <v>1357081.0699999998</v>
      </c>
      <c r="G36" s="821">
        <f>SUM(G23:G24)</f>
        <v>1488721.4441149025</v>
      </c>
    </row>
    <row r="37" spans="2:7">
      <c r="B37" s="509"/>
      <c r="C37" s="822">
        <f t="shared" ref="C37:E37" si="0">SUM(C32:C36)</f>
        <v>130406978.75605033</v>
      </c>
      <c r="D37" s="822">
        <f t="shared" si="0"/>
        <v>130422601.95246921</v>
      </c>
      <c r="E37" s="822">
        <f t="shared" si="0"/>
        <v>133491230.49172471</v>
      </c>
      <c r="F37" s="822">
        <f>SUM(F32:F36)</f>
        <v>113141997.11065161</v>
      </c>
      <c r="G37" s="822">
        <f>SUM(G32:G36)</f>
        <v>126969273.71667047</v>
      </c>
    </row>
    <row r="38" spans="2:7">
      <c r="C38" s="818"/>
      <c r="D38" s="818"/>
      <c r="E38" s="818"/>
      <c r="F38" s="818"/>
      <c r="G38" s="818"/>
    </row>
    <row r="39" spans="2:7">
      <c r="B39" s="510" t="s">
        <v>594</v>
      </c>
      <c r="C39" s="821">
        <f>C35</f>
        <v>54327346.415374011</v>
      </c>
      <c r="D39" s="821">
        <f t="shared" ref="D39:E39" si="1">D35</f>
        <v>52684970.226801276</v>
      </c>
      <c r="E39" s="821">
        <f t="shared" si="1"/>
        <v>53589287.163177535</v>
      </c>
      <c r="F39" s="821">
        <f>F35</f>
        <v>45389104.04258094</v>
      </c>
      <c r="G39" s="821">
        <f>G35</f>
        <v>50304156.046932131</v>
      </c>
    </row>
    <row r="40" spans="2:7">
      <c r="B40" s="510" t="s">
        <v>595</v>
      </c>
      <c r="C40" s="821">
        <v>-7081747.7695425255</v>
      </c>
      <c r="D40" s="821">
        <v>-6243997.9095425252</v>
      </c>
      <c r="E40" s="821">
        <v>-5296573.8717647484</v>
      </c>
      <c r="F40" s="821">
        <v>-4965081.2822781773</v>
      </c>
      <c r="G40" s="821">
        <v>-2116666.4872643482</v>
      </c>
    </row>
    <row r="41" spans="2:7">
      <c r="C41" s="822">
        <f>SUM(C39:C40)</f>
        <v>47245598.645831488</v>
      </c>
      <c r="D41" s="822">
        <f t="shared" ref="D41:G41" si="2">SUM(D39:D40)</f>
        <v>46440972.317258753</v>
      </c>
      <c r="E41" s="822">
        <f t="shared" si="2"/>
        <v>48292713.291412786</v>
      </c>
      <c r="F41" s="822">
        <f t="shared" si="2"/>
        <v>40424022.76030276</v>
      </c>
      <c r="G41" s="822">
        <f t="shared" si="2"/>
        <v>48187489.559667781</v>
      </c>
    </row>
    <row r="42" spans="2:7">
      <c r="C42" s="511"/>
    </row>
    <row r="43" spans="2:7">
      <c r="C43" s="705" t="s">
        <v>683</v>
      </c>
    </row>
    <row r="44" spans="2:7">
      <c r="C44" s="706" t="s">
        <v>684</v>
      </c>
      <c r="D44" s="707">
        <f>SUM(C26:E26)</f>
        <v>0</v>
      </c>
    </row>
    <row r="45" spans="2:7">
      <c r="C45" s="706" t="s">
        <v>685</v>
      </c>
      <c r="D45" s="707">
        <v>0</v>
      </c>
    </row>
    <row r="46" spans="2:7">
      <c r="C46" s="706" t="s">
        <v>686</v>
      </c>
      <c r="D46" s="707">
        <v>0</v>
      </c>
    </row>
    <row r="47" spans="2:7">
      <c r="C47" s="706" t="s">
        <v>687</v>
      </c>
      <c r="D47" s="707">
        <v>1.3582892995327711</v>
      </c>
    </row>
    <row r="48" spans="2:7">
      <c r="C48" s="706" t="s">
        <v>688</v>
      </c>
      <c r="D48" s="707">
        <v>-0.56794864917173982</v>
      </c>
    </row>
    <row r="49" spans="3:4">
      <c r="C49" s="706" t="s">
        <v>689</v>
      </c>
      <c r="D49" s="707">
        <v>-0.33462546858936548</v>
      </c>
    </row>
    <row r="50" spans="3:4">
      <c r="C50" s="706" t="s">
        <v>690</v>
      </c>
      <c r="D50" s="707">
        <v>0</v>
      </c>
    </row>
    <row r="51" spans="3:4">
      <c r="C51" s="706" t="s">
        <v>691</v>
      </c>
      <c r="D51" s="707">
        <v>0</v>
      </c>
    </row>
    <row r="52" spans="3:4">
      <c r="C52" s="706" t="s">
        <v>692</v>
      </c>
      <c r="D52" s="708">
        <v>0</v>
      </c>
    </row>
    <row r="53" spans="3:4">
      <c r="C53" s="706" t="s">
        <v>693</v>
      </c>
      <c r="D53" s="707">
        <v>0.72172415815293789</v>
      </c>
    </row>
    <row r="54" spans="3:4">
      <c r="C54" s="511"/>
    </row>
    <row r="55" spans="3:4">
      <c r="C55" s="511"/>
    </row>
  </sheetData>
  <mergeCells count="3">
    <mergeCell ref="H1:H2"/>
    <mergeCell ref="I1:I2"/>
    <mergeCell ref="J1:J2"/>
  </mergeCells>
  <pageMargins left="0.7" right="0.38" top="0.75" bottom="0.75" header="0.3" footer="0.3"/>
  <pageSetup scale="43" orientation="landscape" r:id="rId1"/>
  <headerFooter>
    <oddHeader>&amp;L&amp;"Arial,Bold"RJR-5 Production O&amp;&amp;M -Rebuttal&amp;R&amp;"Arial,Bold"Confidential per WAC 480-07-160</oddHeader>
    <oddFooter>&amp;L&amp;F; &amp;A&amp;R&amp;D&amp;T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10" workbookViewId="0">
      <selection activeCell="M26" sqref="M26"/>
    </sheetView>
  </sheetViews>
  <sheetFormatPr defaultRowHeight="15"/>
  <cols>
    <col min="1" max="1" width="49.5703125" style="734" bestFit="1" customWidth="1"/>
    <col min="2" max="2" width="15" style="735" bestFit="1" customWidth="1"/>
    <col min="3" max="3" width="14.28515625" style="734" bestFit="1" customWidth="1"/>
    <col min="4" max="5" width="11.5703125" style="734" bestFit="1" customWidth="1"/>
    <col min="6" max="6" width="1.7109375" style="734" customWidth="1"/>
    <col min="7" max="7" width="11.5703125" style="734" bestFit="1" customWidth="1"/>
    <col min="8" max="16384" width="9.140625" style="734"/>
  </cols>
  <sheetData>
    <row r="1" spans="1:2">
      <c r="A1" s="734" t="s">
        <v>394</v>
      </c>
    </row>
    <row r="2" spans="1:2">
      <c r="A2" s="734" t="s">
        <v>1448</v>
      </c>
    </row>
    <row r="12" spans="1:2">
      <c r="A12" s="734" t="s">
        <v>3</v>
      </c>
      <c r="B12" s="735" t="s">
        <v>393</v>
      </c>
    </row>
    <row r="13" spans="1:2">
      <c r="A13" s="734" t="s">
        <v>1441</v>
      </c>
      <c r="B13" s="735">
        <v>44829.33</v>
      </c>
    </row>
    <row r="14" spans="1:2">
      <c r="A14" s="734" t="s">
        <v>369</v>
      </c>
      <c r="B14" s="735">
        <v>509160.25</v>
      </c>
    </row>
    <row r="15" spans="1:2">
      <c r="A15" s="740" t="s">
        <v>1440</v>
      </c>
      <c r="B15" s="739">
        <v>4150848.83</v>
      </c>
    </row>
    <row r="16" spans="1:2">
      <c r="A16" s="734" t="s">
        <v>1439</v>
      </c>
      <c r="B16" s="735">
        <v>50124.44</v>
      </c>
    </row>
    <row r="17" spans="1:2">
      <c r="A17" s="734" t="s">
        <v>1438</v>
      </c>
      <c r="B17" s="735">
        <v>33986.36</v>
      </c>
    </row>
    <row r="18" spans="1:2">
      <c r="A18" s="734" t="s">
        <v>1437</v>
      </c>
      <c r="B18" s="735">
        <v>8700</v>
      </c>
    </row>
    <row r="19" spans="1:2">
      <c r="A19" s="734" t="s">
        <v>1436</v>
      </c>
      <c r="B19" s="735">
        <v>62429.36</v>
      </c>
    </row>
    <row r="20" spans="1:2">
      <c r="A20" s="734" t="s">
        <v>1435</v>
      </c>
      <c r="B20" s="735">
        <v>9460</v>
      </c>
    </row>
    <row r="21" spans="1:2">
      <c r="A21" s="734" t="s">
        <v>1434</v>
      </c>
      <c r="B21" s="735">
        <v>84.48</v>
      </c>
    </row>
    <row r="22" spans="1:2">
      <c r="A22" s="734" t="s">
        <v>1433</v>
      </c>
      <c r="B22" s="735">
        <v>1305.77</v>
      </c>
    </row>
    <row r="23" spans="1:2">
      <c r="A23" s="734" t="s">
        <v>1432</v>
      </c>
      <c r="B23" s="735">
        <v>77.36</v>
      </c>
    </row>
    <row r="24" spans="1:2">
      <c r="A24" s="734" t="s">
        <v>1431</v>
      </c>
      <c r="B24" s="735">
        <v>3613.69</v>
      </c>
    </row>
    <row r="25" spans="1:2">
      <c r="A25" s="734" t="s">
        <v>1430</v>
      </c>
      <c r="B25" s="735">
        <v>1507.3</v>
      </c>
    </row>
    <row r="26" spans="1:2">
      <c r="A26" s="734" t="s">
        <v>1429</v>
      </c>
      <c r="B26" s="735">
        <v>89.08</v>
      </c>
    </row>
    <row r="27" spans="1:2">
      <c r="A27" s="734" t="s">
        <v>1428</v>
      </c>
      <c r="B27" s="735">
        <v>10324.02</v>
      </c>
    </row>
    <row r="28" spans="1:2">
      <c r="A28" s="734" t="s">
        <v>1427</v>
      </c>
      <c r="B28" s="735">
        <v>245576.65</v>
      </c>
    </row>
    <row r="29" spans="1:2">
      <c r="A29" s="734" t="s">
        <v>1426</v>
      </c>
      <c r="B29" s="735">
        <v>183043.4</v>
      </c>
    </row>
    <row r="30" spans="1:2">
      <c r="A30" s="734" t="s">
        <v>1425</v>
      </c>
      <c r="B30" s="735">
        <v>65146.75</v>
      </c>
    </row>
    <row r="31" spans="1:2">
      <c r="A31" s="734" t="s">
        <v>1424</v>
      </c>
      <c r="B31" s="735">
        <v>0</v>
      </c>
    </row>
    <row r="32" spans="1:2">
      <c r="A32" s="734" t="s">
        <v>1423</v>
      </c>
      <c r="B32" s="735">
        <v>0</v>
      </c>
    </row>
    <row r="33" spans="1:2">
      <c r="A33" s="734" t="s">
        <v>1422</v>
      </c>
      <c r="B33" s="735">
        <v>132868.48000000001</v>
      </c>
    </row>
    <row r="34" spans="1:2">
      <c r="A34" s="734" t="s">
        <v>1421</v>
      </c>
      <c r="B34" s="735">
        <v>190081.82</v>
      </c>
    </row>
    <row r="35" spans="1:2">
      <c r="A35" s="734" t="s">
        <v>1420</v>
      </c>
      <c r="B35" s="735">
        <v>360502.54</v>
      </c>
    </row>
    <row r="36" spans="1:2">
      <c r="A36" s="740" t="s">
        <v>1419</v>
      </c>
      <c r="B36" s="739">
        <v>-31292113</v>
      </c>
    </row>
    <row r="37" spans="1:2">
      <c r="A37" s="734" t="s">
        <v>1418</v>
      </c>
      <c r="B37" s="735">
        <v>452.08</v>
      </c>
    </row>
    <row r="38" spans="1:2">
      <c r="A38" s="740" t="s">
        <v>1417</v>
      </c>
      <c r="B38" s="739">
        <v>26176970.140000001</v>
      </c>
    </row>
    <row r="39" spans="1:2">
      <c r="A39" s="734" t="s">
        <v>1416</v>
      </c>
      <c r="B39" s="735">
        <v>14559.11</v>
      </c>
    </row>
    <row r="40" spans="1:2">
      <c r="A40" s="734" t="s">
        <v>1415</v>
      </c>
      <c r="B40" s="735">
        <v>429946.46</v>
      </c>
    </row>
    <row r="41" spans="1:2">
      <c r="A41" s="734" t="s">
        <v>1414</v>
      </c>
      <c r="B41" s="735">
        <v>1431085.96</v>
      </c>
    </row>
    <row r="42" spans="1:2">
      <c r="A42" s="734" t="s">
        <v>1413</v>
      </c>
      <c r="B42" s="735">
        <v>2280.52</v>
      </c>
    </row>
    <row r="43" spans="1:2">
      <c r="A43" s="734" t="s">
        <v>1412</v>
      </c>
      <c r="B43" s="735">
        <v>299565.45</v>
      </c>
    </row>
    <row r="44" spans="1:2">
      <c r="A44" s="734" t="s">
        <v>1411</v>
      </c>
      <c r="B44" s="735">
        <v>493.42</v>
      </c>
    </row>
    <row r="45" spans="1:2">
      <c r="A45" s="734" t="s">
        <v>1410</v>
      </c>
      <c r="B45" s="735">
        <v>1020.87</v>
      </c>
    </row>
    <row r="46" spans="1:2">
      <c r="A46" s="734" t="s">
        <v>1409</v>
      </c>
      <c r="B46" s="735">
        <v>418072.24</v>
      </c>
    </row>
    <row r="47" spans="1:2">
      <c r="A47" s="734" t="s">
        <v>1408</v>
      </c>
      <c r="B47" s="735">
        <v>17694.259999999998</v>
      </c>
    </row>
    <row r="48" spans="1:2">
      <c r="A48" s="734" t="s">
        <v>1407</v>
      </c>
      <c r="B48" s="735">
        <v>11021.44</v>
      </c>
    </row>
    <row r="49" spans="1:2">
      <c r="A49" s="734" t="s">
        <v>1406</v>
      </c>
      <c r="B49" s="735">
        <v>161.36000000000001</v>
      </c>
    </row>
    <row r="50" spans="1:2">
      <c r="A50" s="734" t="s">
        <v>1405</v>
      </c>
      <c r="B50" s="735">
        <v>10410</v>
      </c>
    </row>
    <row r="51" spans="1:2">
      <c r="A51" s="734" t="s">
        <v>1404</v>
      </c>
      <c r="B51" s="735">
        <v>216000.58</v>
      </c>
    </row>
    <row r="52" spans="1:2">
      <c r="A52" s="734" t="s">
        <v>1403</v>
      </c>
      <c r="B52" s="735">
        <v>3258670.19</v>
      </c>
    </row>
    <row r="53" spans="1:2">
      <c r="A53" s="734" t="s">
        <v>1402</v>
      </c>
      <c r="B53" s="735">
        <v>181083.68</v>
      </c>
    </row>
    <row r="54" spans="1:2">
      <c r="A54" s="734" t="s">
        <v>1401</v>
      </c>
      <c r="B54" s="735">
        <v>38416.89</v>
      </c>
    </row>
    <row r="55" spans="1:2">
      <c r="A55" s="734" t="s">
        <v>1400</v>
      </c>
      <c r="B55" s="735">
        <v>46178.79</v>
      </c>
    </row>
    <row r="56" spans="1:2">
      <c r="A56" s="734" t="s">
        <v>1399</v>
      </c>
      <c r="B56" s="735">
        <v>0</v>
      </c>
    </row>
    <row r="57" spans="1:2">
      <c r="A57" s="734" t="s">
        <v>1398</v>
      </c>
      <c r="B57" s="735">
        <v>265737.13</v>
      </c>
    </row>
    <row r="58" spans="1:2">
      <c r="A58" s="734" t="s">
        <v>1397</v>
      </c>
      <c r="B58" s="735">
        <v>2255</v>
      </c>
    </row>
    <row r="59" spans="1:2">
      <c r="A59" s="734" t="s">
        <v>1396</v>
      </c>
      <c r="B59" s="735">
        <v>83530.710000000006</v>
      </c>
    </row>
    <row r="60" spans="1:2">
      <c r="A60" s="734" t="s">
        <v>1395</v>
      </c>
      <c r="B60" s="735">
        <v>305651.09000000003</v>
      </c>
    </row>
    <row r="61" spans="1:2">
      <c r="A61" s="734" t="s">
        <v>1394</v>
      </c>
      <c r="B61" s="735">
        <v>937946.71</v>
      </c>
    </row>
    <row r="62" spans="1:2">
      <c r="A62" s="734" t="s">
        <v>1393</v>
      </c>
      <c r="B62" s="735">
        <v>163846.72</v>
      </c>
    </row>
    <row r="63" spans="1:2">
      <c r="A63" s="734" t="s">
        <v>1392</v>
      </c>
      <c r="B63" s="735">
        <v>45615.59</v>
      </c>
    </row>
    <row r="64" spans="1:2">
      <c r="A64" s="734" t="s">
        <v>1391</v>
      </c>
      <c r="B64" s="735">
        <v>1035439.22</v>
      </c>
    </row>
    <row r="65" spans="1:9">
      <c r="A65" s="734" t="s">
        <v>1390</v>
      </c>
      <c r="B65" s="735">
        <v>101539.81</v>
      </c>
    </row>
    <row r="66" spans="1:9">
      <c r="A66" s="734" t="s">
        <v>1389</v>
      </c>
      <c r="B66" s="735">
        <v>23734.57</v>
      </c>
    </row>
    <row r="67" spans="1:9">
      <c r="A67" s="734" t="s">
        <v>1388</v>
      </c>
      <c r="B67" s="735">
        <v>915506.99</v>
      </c>
    </row>
    <row r="68" spans="1:9">
      <c r="A68" s="734" t="s">
        <v>1387</v>
      </c>
      <c r="B68" s="735">
        <v>145696.51</v>
      </c>
    </row>
    <row r="69" spans="1:9">
      <c r="A69" s="734" t="s">
        <v>1386</v>
      </c>
      <c r="B69" s="735">
        <v>1317245.47</v>
      </c>
      <c r="C69" s="751"/>
      <c r="D69" s="751"/>
      <c r="E69" s="751"/>
      <c r="F69" s="751"/>
      <c r="G69" s="751"/>
      <c r="H69" s="751"/>
      <c r="I69" s="751"/>
    </row>
    <row r="70" spans="1:9">
      <c r="A70" s="734" t="s">
        <v>1385</v>
      </c>
      <c r="B70" s="735">
        <v>31348.1</v>
      </c>
      <c r="C70" s="751"/>
      <c r="D70" s="751"/>
      <c r="E70" s="751"/>
      <c r="F70" s="751"/>
      <c r="G70" s="751"/>
      <c r="H70" s="751"/>
      <c r="I70" s="751"/>
    </row>
    <row r="71" spans="1:9">
      <c r="A71" s="734" t="s">
        <v>1384</v>
      </c>
      <c r="B71" s="738">
        <f>SUM(B13:B70)</f>
        <v>12700823.970000004</v>
      </c>
      <c r="C71" s="752">
        <f>+'B&amp;T 557 Forecast'!C9+'B&amp;T 557 Forecast'!D9</f>
        <v>2381768.19</v>
      </c>
      <c r="D71" s="753">
        <f>+B71-C71</f>
        <v>10319055.780000005</v>
      </c>
      <c r="E71" s="751" t="s">
        <v>1449</v>
      </c>
      <c r="F71" s="751"/>
      <c r="G71" s="752"/>
      <c r="H71" s="751"/>
      <c r="I71" s="751"/>
    </row>
    <row r="72" spans="1:9">
      <c r="C72" s="753"/>
      <c r="D72" s="751"/>
      <c r="E72" s="753"/>
      <c r="F72" s="751"/>
      <c r="G72" s="751"/>
      <c r="H72" s="751"/>
      <c r="I72" s="751"/>
    </row>
    <row r="73" spans="1:9">
      <c r="A73" s="734" t="s">
        <v>1383</v>
      </c>
      <c r="C73" s="751"/>
      <c r="D73" s="751"/>
      <c r="E73" s="751"/>
      <c r="F73" s="751"/>
      <c r="G73" s="751"/>
      <c r="H73" s="751"/>
      <c r="I73" s="751"/>
    </row>
    <row r="74" spans="1:9">
      <c r="A74" s="734" t="str">
        <f>+A15</f>
        <v>55700006  9810 - Green Power Renewable Credits</v>
      </c>
      <c r="B74" s="735">
        <f>-B15</f>
        <v>-4150848.83</v>
      </c>
      <c r="C74" s="751"/>
      <c r="D74" s="751"/>
      <c r="E74" s="751"/>
      <c r="F74" s="751"/>
      <c r="G74" s="751"/>
      <c r="H74" s="751"/>
      <c r="I74" s="751"/>
    </row>
    <row r="75" spans="1:9">
      <c r="A75" s="734" t="str">
        <f>+A36</f>
        <v>55700130  5360 - Deferred customer Portion - PCA</v>
      </c>
      <c r="B75" s="735">
        <f>-B36</f>
        <v>31292113</v>
      </c>
      <c r="C75" s="751"/>
      <c r="D75" s="751"/>
      <c r="E75" s="751"/>
      <c r="F75" s="751"/>
      <c r="G75" s="751"/>
      <c r="H75" s="751"/>
      <c r="I75" s="751"/>
    </row>
    <row r="76" spans="1:9">
      <c r="A76" s="734" t="str">
        <f>+A38</f>
        <v>55700138  PCA Amortization Recovery UE-200893</v>
      </c>
      <c r="B76" s="735">
        <f>-B38</f>
        <v>-26176970.140000001</v>
      </c>
    </row>
    <row r="77" spans="1:9" ht="15.75" thickBot="1">
      <c r="B77" s="737">
        <f>SUM(B71:B76)</f>
        <v>13665118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M26" sqref="M26"/>
    </sheetView>
  </sheetViews>
  <sheetFormatPr defaultColWidth="9.140625" defaultRowHeight="15"/>
  <cols>
    <col min="1" max="1" width="32.140625" style="7" bestFit="1" customWidth="1"/>
    <col min="2" max="2" width="15.7109375" style="7" bestFit="1" customWidth="1"/>
    <col min="3" max="3" width="13.7109375" style="7" bestFit="1" customWidth="1"/>
    <col min="4" max="4" width="13.28515625" style="7" bestFit="1" customWidth="1"/>
    <col min="5" max="5" width="14.28515625" style="7" bestFit="1" customWidth="1"/>
    <col min="6" max="16384" width="9.140625" style="7"/>
  </cols>
  <sheetData>
    <row r="1" spans="1:10">
      <c r="A1" s="15" t="s">
        <v>376</v>
      </c>
    </row>
    <row r="2" spans="1:10">
      <c r="A2" s="15" t="s">
        <v>375</v>
      </c>
    </row>
    <row r="3" spans="1:10">
      <c r="A3" s="15" t="s">
        <v>450</v>
      </c>
    </row>
    <row r="4" spans="1:10">
      <c r="A4" s="15" t="s">
        <v>449</v>
      </c>
    </row>
    <row r="5" spans="1:10">
      <c r="A5" s="15"/>
    </row>
    <row r="6" spans="1:10">
      <c r="A6" s="37" t="s">
        <v>374</v>
      </c>
      <c r="B6" s="37" t="s">
        <v>373</v>
      </c>
      <c r="C6" s="37" t="s">
        <v>372</v>
      </c>
      <c r="D6" s="37" t="s">
        <v>371</v>
      </c>
      <c r="E6" s="37" t="s">
        <v>370</v>
      </c>
    </row>
    <row r="7" spans="1:10">
      <c r="A7" s="37" t="s">
        <v>447</v>
      </c>
      <c r="B7" s="38">
        <v>23217059.190000001</v>
      </c>
      <c r="C7" s="38">
        <v>275651.15000000002</v>
      </c>
      <c r="D7" s="38">
        <v>939728.78</v>
      </c>
      <c r="E7" s="38">
        <v>22001679.260000002</v>
      </c>
      <c r="F7" s="20"/>
      <c r="G7" s="20"/>
      <c r="H7" s="20"/>
      <c r="I7" s="20"/>
      <c r="J7" s="20"/>
    </row>
    <row r="8" spans="1:10">
      <c r="A8" s="37" t="s">
        <v>448</v>
      </c>
      <c r="B8" s="38">
        <v>-10516235.220000001</v>
      </c>
      <c r="C8" s="38">
        <v>232845.01</v>
      </c>
      <c r="D8" s="38">
        <v>933543.25</v>
      </c>
      <c r="E8" s="38">
        <v>-11682623.48</v>
      </c>
      <c r="F8" s="20"/>
      <c r="G8" s="20"/>
      <c r="H8" s="20"/>
      <c r="I8" s="20"/>
      <c r="J8" s="20"/>
    </row>
    <row r="9" spans="1:10">
      <c r="A9" s="37"/>
      <c r="B9" s="39">
        <f>SUM(B7:B8)</f>
        <v>12700823.970000001</v>
      </c>
      <c r="C9" s="39">
        <f t="shared" ref="C9:E9" si="0">SUM(C7:C8)</f>
        <v>508496.16000000003</v>
      </c>
      <c r="D9" s="39">
        <f t="shared" si="0"/>
        <v>1873272.03</v>
      </c>
      <c r="E9" s="39">
        <f t="shared" si="0"/>
        <v>10319055.780000001</v>
      </c>
      <c r="F9" s="20"/>
      <c r="G9" s="20"/>
      <c r="H9" s="20"/>
      <c r="I9" s="20"/>
      <c r="J9" s="20"/>
    </row>
    <row r="10" spans="1:10">
      <c r="B10" s="20"/>
      <c r="C10" s="20"/>
      <c r="D10" s="20"/>
      <c r="E10" s="20"/>
      <c r="F10" s="20"/>
      <c r="G10" s="20"/>
      <c r="H10" s="20"/>
      <c r="I10" s="20"/>
      <c r="J10" s="20"/>
    </row>
    <row r="11" spans="1:10">
      <c r="A11" s="37" t="s">
        <v>1381</v>
      </c>
      <c r="B11" s="569">
        <f>+'TY 557xorder'!B77</f>
        <v>13665118</v>
      </c>
      <c r="C11" s="736">
        <f>+C9</f>
        <v>508496.16000000003</v>
      </c>
      <c r="D11" s="736">
        <f>+D9</f>
        <v>1873272.03</v>
      </c>
      <c r="E11" s="20"/>
      <c r="F11" s="20"/>
      <c r="G11" s="20"/>
      <c r="H11" s="20"/>
      <c r="I11" s="20"/>
      <c r="J11" s="20"/>
    </row>
    <row r="12" spans="1:10">
      <c r="A12" s="37" t="s">
        <v>1382</v>
      </c>
      <c r="B12"/>
      <c r="C12" s="743">
        <f>+C11/B11</f>
        <v>3.7211252767813646E-2</v>
      </c>
      <c r="D12" s="743">
        <f>+D11/B11</f>
        <v>0.13708421910443802</v>
      </c>
      <c r="E12" s="20"/>
      <c r="F12" s="20"/>
      <c r="G12" s="20"/>
      <c r="H12" s="20"/>
      <c r="I12" s="20"/>
      <c r="J12" s="20"/>
    </row>
    <row r="13" spans="1:10">
      <c r="A13"/>
      <c r="B13"/>
      <c r="C13"/>
      <c r="D13"/>
      <c r="E13" s="20"/>
      <c r="F13" s="20"/>
      <c r="G13" s="20"/>
      <c r="H13" s="20"/>
      <c r="I13" s="20"/>
      <c r="J13" s="20"/>
    </row>
    <row r="14" spans="1:10">
      <c r="A14" s="746" t="s">
        <v>1442</v>
      </c>
      <c r="B14" s="569">
        <f>+'2023'!C16*1000</f>
        <v>16711586.023277484</v>
      </c>
      <c r="C14" s="569">
        <f>+$B14*C$12</f>
        <v>621859.05166324007</v>
      </c>
      <c r="D14" s="569">
        <f>+$B14*D$12</f>
        <v>2290894.7199976346</v>
      </c>
      <c r="E14" s="750">
        <f>SUM('Power Cost Bridge to A-1'!M19:N19)--SUM(C14:D14)</f>
        <v>0</v>
      </c>
      <c r="F14" s="749" t="s">
        <v>1446</v>
      </c>
      <c r="G14" s="20"/>
      <c r="H14" s="20"/>
      <c r="I14" s="20"/>
      <c r="J14" s="20"/>
    </row>
    <row r="15" spans="1:10">
      <c r="A15" s="746" t="s">
        <v>1443</v>
      </c>
      <c r="B15" s="569">
        <f>+'2023'!D16*1000</f>
        <v>17153942.620853931</v>
      </c>
      <c r="C15" s="569">
        <f t="shared" ref="C15:D16" si="1">+$B15*C$12</f>
        <v>638319.69482916733</v>
      </c>
      <c r="D15" s="569">
        <f t="shared" si="1"/>
        <v>2351534.8287420981</v>
      </c>
      <c r="E15" s="750">
        <f>SUM('Power Cost Bridge to A-1'!R19:S19)--SUM(C15:D15)</f>
        <v>0</v>
      </c>
      <c r="F15" s="749" t="s">
        <v>1446</v>
      </c>
      <c r="G15" s="20"/>
      <c r="H15" s="20"/>
      <c r="I15" s="20"/>
      <c r="J15" s="20"/>
    </row>
    <row r="16" spans="1:10">
      <c r="A16" s="746" t="s">
        <v>1444</v>
      </c>
      <c r="B16" s="744">
        <f>+'2023'!E16*1000</f>
        <v>17615532.963934422</v>
      </c>
      <c r="C16" s="569">
        <f t="shared" si="1"/>
        <v>655496.04976071732</v>
      </c>
      <c r="D16" s="569">
        <f t="shared" si="1"/>
        <v>2414811.5804694369</v>
      </c>
      <c r="E16" s="750"/>
      <c r="F16" s="749" t="s">
        <v>1446</v>
      </c>
      <c r="G16" s="20"/>
      <c r="H16" s="20"/>
      <c r="I16" s="20"/>
      <c r="J16" s="20"/>
    </row>
    <row r="17" spans="1:10" ht="6.75" customHeight="1">
      <c r="A17" s="747"/>
      <c r="B17" s="723"/>
      <c r="C17" s="14"/>
      <c r="D17" s="14"/>
      <c r="E17" s="20"/>
      <c r="F17" s="20"/>
      <c r="G17" s="20"/>
      <c r="H17" s="20"/>
      <c r="I17" s="20"/>
      <c r="J17" s="20"/>
    </row>
    <row r="18" spans="1:10">
      <c r="A18" s="748" t="s">
        <v>1442</v>
      </c>
      <c r="B18" s="749" t="s">
        <v>1445</v>
      </c>
      <c r="C18" s="745">
        <f>+C14/B14</f>
        <v>3.7211252767813646E-2</v>
      </c>
      <c r="D18" s="745">
        <f>+D14/B14</f>
        <v>0.13708421910443802</v>
      </c>
      <c r="E18" s="20"/>
      <c r="F18" s="20"/>
      <c r="G18" s="20"/>
      <c r="H18" s="20"/>
      <c r="I18" s="20"/>
      <c r="J18" s="20"/>
    </row>
    <row r="19" spans="1:10">
      <c r="A19" s="748" t="s">
        <v>1443</v>
      </c>
      <c r="B19" s="749" t="s">
        <v>1445</v>
      </c>
      <c r="C19" s="745">
        <f t="shared" ref="C19:C20" si="2">+C15/B15</f>
        <v>3.7211252767813646E-2</v>
      </c>
      <c r="D19" s="745">
        <f t="shared" ref="D19:D20" si="3">+D15/B15</f>
        <v>0.13708421910443802</v>
      </c>
      <c r="E19" s="20"/>
      <c r="F19" s="20"/>
      <c r="G19" s="20"/>
      <c r="H19" s="20"/>
      <c r="I19" s="20"/>
      <c r="J19" s="20"/>
    </row>
    <row r="20" spans="1:10">
      <c r="A20" s="748" t="s">
        <v>1444</v>
      </c>
      <c r="B20" s="749" t="s">
        <v>1445</v>
      </c>
      <c r="C20" s="745">
        <f t="shared" si="2"/>
        <v>3.7211252767813646E-2</v>
      </c>
      <c r="D20" s="745">
        <f t="shared" si="3"/>
        <v>0.13708421910443802</v>
      </c>
      <c r="E20" s="20"/>
      <c r="F20" s="20"/>
      <c r="G20" s="20"/>
      <c r="H20" s="20"/>
      <c r="I20" s="20"/>
      <c r="J20" s="20"/>
    </row>
    <row r="21" spans="1:10">
      <c r="A21" s="722"/>
      <c r="B21" s="723"/>
      <c r="C21" s="14"/>
      <c r="D21" s="14"/>
      <c r="E21" s="20"/>
      <c r="F21" s="20"/>
      <c r="G21" s="20"/>
      <c r="H21" s="20"/>
      <c r="I21" s="20"/>
      <c r="J21" s="20"/>
    </row>
    <row r="22" spans="1:10">
      <c r="B22" s="20"/>
      <c r="C22" s="20"/>
      <c r="D22" s="20"/>
      <c r="E22" s="20"/>
      <c r="F22" s="20"/>
      <c r="G22" s="20"/>
      <c r="H22" s="20"/>
      <c r="I22" s="20"/>
      <c r="J22" s="20"/>
    </row>
    <row r="23" spans="1:10">
      <c r="B23" s="20"/>
      <c r="C23" s="20"/>
      <c r="D23" s="20"/>
      <c r="E23" s="20"/>
      <c r="F23" s="20"/>
      <c r="G23" s="20"/>
      <c r="H23" s="20"/>
      <c r="I23" s="20"/>
      <c r="J23" s="20"/>
    </row>
    <row r="24" spans="1:10">
      <c r="B24" s="20"/>
      <c r="C24" s="20"/>
      <c r="D24" s="20"/>
      <c r="E24" s="20"/>
      <c r="F24" s="20"/>
      <c r="G24" s="20"/>
      <c r="H24" s="20"/>
      <c r="I24" s="20"/>
      <c r="J24" s="20"/>
    </row>
    <row r="25" spans="1:10"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B26" s="20"/>
      <c r="C26" s="20"/>
      <c r="D26" s="20"/>
      <c r="E26" s="20"/>
      <c r="F26" s="20"/>
      <c r="G26" s="20"/>
      <c r="H26" s="20"/>
      <c r="I26" s="20"/>
      <c r="J26" s="20"/>
    </row>
    <row r="27" spans="1:10">
      <c r="B27" s="20"/>
      <c r="C27" s="20"/>
      <c r="D27" s="20"/>
      <c r="E27" s="20"/>
      <c r="F27" s="20"/>
      <c r="G27" s="20"/>
      <c r="H27" s="20"/>
      <c r="I27" s="20"/>
      <c r="J27" s="20"/>
    </row>
    <row r="28" spans="1:10">
      <c r="B28" s="20"/>
      <c r="C28" s="20"/>
      <c r="D28" s="20"/>
      <c r="E28" s="20"/>
      <c r="F28" s="20"/>
      <c r="G28" s="20"/>
      <c r="H28" s="20"/>
      <c r="I28" s="20"/>
      <c r="J28" s="20"/>
    </row>
    <row r="29" spans="1:10"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B30" s="20"/>
      <c r="C30" s="20"/>
      <c r="D30" s="20"/>
      <c r="E30" s="20"/>
      <c r="F30" s="20"/>
      <c r="G30" s="20"/>
      <c r="H30" s="20"/>
      <c r="I30" s="20"/>
      <c r="J30" s="20"/>
    </row>
    <row r="31" spans="1:10">
      <c r="B31" s="20"/>
      <c r="C31" s="20"/>
      <c r="D31" s="20"/>
      <c r="E31" s="20"/>
      <c r="F31" s="20"/>
      <c r="G31" s="20"/>
      <c r="H31" s="20"/>
      <c r="I31" s="20"/>
      <c r="J31" s="20"/>
    </row>
    <row r="32" spans="1:10">
      <c r="B32" s="20"/>
      <c r="C32" s="20"/>
      <c r="D32" s="20"/>
      <c r="E32" s="20"/>
      <c r="F32" s="20"/>
      <c r="G32" s="20"/>
      <c r="H32" s="20"/>
      <c r="I32" s="20"/>
      <c r="J32" s="20"/>
    </row>
    <row r="33" spans="2:10">
      <c r="B33" s="20"/>
      <c r="C33" s="20"/>
      <c r="D33" s="20"/>
      <c r="E33" s="20"/>
      <c r="F33" s="20"/>
      <c r="G33" s="20"/>
      <c r="H33" s="20"/>
      <c r="I33" s="20"/>
      <c r="J33" s="20"/>
    </row>
    <row r="34" spans="2:10">
      <c r="B34" s="20"/>
      <c r="C34" s="20"/>
      <c r="D34" s="20"/>
      <c r="E34" s="20"/>
      <c r="F34" s="20"/>
      <c r="G34" s="20"/>
      <c r="H34" s="20"/>
      <c r="I34" s="20"/>
      <c r="J34" s="20"/>
    </row>
    <row r="35" spans="2:10">
      <c r="B35" s="20"/>
      <c r="C35" s="20"/>
      <c r="D35" s="20"/>
      <c r="E35" s="20"/>
      <c r="F35" s="20"/>
      <c r="G35" s="20"/>
      <c r="H35" s="20"/>
      <c r="I35" s="20"/>
      <c r="J35" s="20"/>
    </row>
    <row r="36" spans="2:10">
      <c r="B36" s="20"/>
      <c r="C36" s="20"/>
      <c r="D36" s="20"/>
      <c r="E36" s="20"/>
      <c r="F36" s="20"/>
      <c r="G36" s="20"/>
      <c r="H36" s="20"/>
      <c r="I36" s="20"/>
      <c r="J36" s="20"/>
    </row>
    <row r="37" spans="2:10">
      <c r="B37" s="20"/>
      <c r="C37" s="20"/>
      <c r="D37" s="20"/>
      <c r="E37" s="20"/>
      <c r="F37" s="20"/>
      <c r="G37" s="20"/>
      <c r="H37" s="20"/>
      <c r="I37" s="20"/>
      <c r="J37" s="20"/>
    </row>
    <row r="38" spans="2:10">
      <c r="B38" s="20"/>
      <c r="C38" s="20"/>
      <c r="D38" s="20"/>
      <c r="E38" s="20"/>
      <c r="F38" s="20"/>
      <c r="G38" s="20"/>
      <c r="H38" s="20"/>
      <c r="I38" s="20"/>
      <c r="J38" s="20"/>
    </row>
    <row r="39" spans="2:10">
      <c r="B39" s="20"/>
      <c r="C39" s="20"/>
      <c r="D39" s="20"/>
      <c r="E39" s="20"/>
      <c r="F39" s="20"/>
      <c r="G39" s="20"/>
      <c r="H39" s="20"/>
      <c r="I39" s="20"/>
      <c r="J39" s="20"/>
    </row>
    <row r="40" spans="2:10">
      <c r="B40" s="20"/>
      <c r="C40" s="20"/>
      <c r="D40" s="20"/>
      <c r="E40" s="20"/>
      <c r="F40" s="20"/>
      <c r="G40" s="20"/>
      <c r="H40" s="20"/>
      <c r="I40" s="20"/>
      <c r="J40" s="20"/>
    </row>
    <row r="41" spans="2:10">
      <c r="B41" s="20"/>
      <c r="C41" s="20"/>
      <c r="D41" s="20"/>
      <c r="E41" s="20"/>
      <c r="F41" s="20"/>
      <c r="G41" s="20"/>
      <c r="H41" s="20"/>
      <c r="I41" s="20"/>
      <c r="J41" s="20"/>
    </row>
    <row r="42" spans="2:10">
      <c r="B42" s="20"/>
      <c r="C42" s="20"/>
      <c r="D42" s="20"/>
      <c r="E42" s="20"/>
      <c r="F42" s="20"/>
      <c r="G42" s="20"/>
      <c r="H42" s="20"/>
      <c r="I42" s="20"/>
      <c r="J42" s="20"/>
    </row>
    <row r="43" spans="2:10">
      <c r="B43" s="20"/>
      <c r="C43" s="20"/>
      <c r="D43" s="20"/>
      <c r="E43" s="20"/>
      <c r="F43" s="20"/>
      <c r="G43" s="20"/>
      <c r="H43" s="20"/>
      <c r="I43" s="20"/>
      <c r="J43" s="20"/>
    </row>
    <row r="44" spans="2:10">
      <c r="B44" s="20"/>
      <c r="C44" s="20"/>
      <c r="D44" s="20"/>
      <c r="E44" s="20"/>
      <c r="F44" s="20"/>
      <c r="G44" s="20"/>
      <c r="H44" s="20"/>
      <c r="I44" s="20"/>
      <c r="J44" s="20"/>
    </row>
    <row r="45" spans="2:10">
      <c r="B45" s="20"/>
      <c r="C45" s="20"/>
      <c r="D45" s="20"/>
      <c r="E45" s="20"/>
      <c r="F45" s="20"/>
      <c r="G45" s="20"/>
      <c r="H45" s="20"/>
      <c r="I45" s="20"/>
      <c r="J45" s="20"/>
    </row>
    <row r="46" spans="2:10">
      <c r="B46" s="20"/>
      <c r="C46" s="20"/>
      <c r="D46" s="20"/>
      <c r="E46" s="20"/>
      <c r="F46" s="20"/>
      <c r="G46" s="20"/>
      <c r="H46" s="20"/>
      <c r="I46" s="20"/>
      <c r="J46" s="20"/>
    </row>
    <row r="47" spans="2:10">
      <c r="B47" s="20"/>
      <c r="C47" s="20"/>
      <c r="D47" s="20"/>
      <c r="E47" s="20"/>
      <c r="F47" s="20"/>
      <c r="G47" s="20"/>
      <c r="H47" s="20"/>
      <c r="I47" s="20"/>
      <c r="J47" s="20"/>
    </row>
    <row r="48" spans="2:10">
      <c r="B48" s="20"/>
      <c r="C48" s="20"/>
      <c r="D48" s="20"/>
      <c r="E48" s="20"/>
      <c r="F48" s="20"/>
      <c r="G48" s="20"/>
      <c r="H48" s="20"/>
      <c r="I48" s="20"/>
      <c r="J48" s="20"/>
    </row>
    <row r="49" spans="2:10">
      <c r="B49" s="20"/>
      <c r="C49" s="20"/>
      <c r="D49" s="20"/>
      <c r="E49" s="20"/>
      <c r="F49" s="20"/>
      <c r="G49" s="20"/>
      <c r="H49" s="20"/>
      <c r="I49" s="20"/>
      <c r="J49" s="20"/>
    </row>
    <row r="50" spans="2:10">
      <c r="B50" s="20"/>
      <c r="C50" s="20"/>
      <c r="D50" s="20"/>
      <c r="E50" s="20"/>
      <c r="F50" s="20"/>
      <c r="G50" s="20"/>
      <c r="H50" s="20"/>
      <c r="I50" s="20"/>
      <c r="J50" s="20"/>
    </row>
    <row r="51" spans="2:10">
      <c r="B51" s="20"/>
      <c r="C51" s="20"/>
      <c r="D51" s="20"/>
      <c r="E51" s="20"/>
      <c r="F51" s="20"/>
      <c r="G51" s="20"/>
      <c r="H51" s="20"/>
      <c r="I51" s="20"/>
      <c r="J51" s="20"/>
    </row>
    <row r="52" spans="2:10">
      <c r="B52" s="20"/>
      <c r="C52" s="20"/>
      <c r="D52" s="20"/>
      <c r="E52" s="20"/>
      <c r="F52" s="20"/>
      <c r="G52" s="20"/>
      <c r="H52" s="20"/>
      <c r="I52" s="20"/>
      <c r="J52" s="20"/>
    </row>
    <row r="53" spans="2:10">
      <c r="B53" s="20"/>
      <c r="C53" s="20"/>
      <c r="D53" s="20"/>
      <c r="E53" s="20"/>
      <c r="F53" s="20"/>
      <c r="G53" s="20"/>
      <c r="H53" s="20"/>
      <c r="I53" s="20"/>
      <c r="J53" s="20"/>
    </row>
    <row r="54" spans="2:10">
      <c r="B54" s="20"/>
      <c r="C54" s="20"/>
      <c r="D54" s="20"/>
      <c r="E54" s="20"/>
      <c r="F54" s="20"/>
      <c r="G54" s="20"/>
      <c r="H54" s="20"/>
      <c r="I54" s="20"/>
      <c r="J54" s="20"/>
    </row>
    <row r="55" spans="2:10">
      <c r="B55" s="20"/>
      <c r="C55" s="20"/>
      <c r="D55" s="20"/>
      <c r="E55" s="20"/>
      <c r="F55" s="20"/>
      <c r="G55" s="20"/>
      <c r="H55" s="20"/>
      <c r="I55" s="20"/>
      <c r="J55" s="20"/>
    </row>
    <row r="56" spans="2:10">
      <c r="B56" s="20"/>
      <c r="C56" s="20"/>
      <c r="D56" s="20"/>
      <c r="E56" s="20"/>
      <c r="F56" s="20"/>
      <c r="G56" s="20"/>
      <c r="H56" s="20"/>
      <c r="I56" s="20"/>
      <c r="J56" s="20"/>
    </row>
    <row r="57" spans="2:10">
      <c r="B57" s="20"/>
      <c r="C57" s="20"/>
      <c r="D57" s="20"/>
      <c r="E57" s="20"/>
      <c r="F57" s="20"/>
      <c r="G57" s="20"/>
      <c r="H57" s="20"/>
      <c r="I57" s="20"/>
      <c r="J57" s="20"/>
    </row>
    <row r="58" spans="2:10">
      <c r="B58" s="20"/>
      <c r="C58" s="20"/>
      <c r="D58" s="20"/>
      <c r="E58" s="20"/>
      <c r="F58" s="20"/>
      <c r="G58" s="20"/>
      <c r="H58" s="20"/>
      <c r="I58" s="20"/>
      <c r="J58" s="20"/>
    </row>
    <row r="59" spans="2:10">
      <c r="B59" s="20"/>
      <c r="C59" s="20"/>
      <c r="D59" s="20"/>
      <c r="E59" s="20"/>
      <c r="F59" s="20"/>
      <c r="G59" s="20"/>
      <c r="H59" s="20"/>
      <c r="I59" s="20"/>
      <c r="J59" s="20"/>
    </row>
    <row r="60" spans="2:10">
      <c r="B60" s="20"/>
      <c r="C60" s="20"/>
      <c r="D60" s="20"/>
      <c r="E60" s="20"/>
      <c r="F60" s="20"/>
      <c r="G60" s="20"/>
      <c r="H60" s="20"/>
      <c r="I60" s="20"/>
      <c r="J60" s="20"/>
    </row>
    <row r="61" spans="2:10">
      <c r="B61" s="20"/>
      <c r="C61" s="20"/>
      <c r="D61" s="20"/>
      <c r="E61" s="20"/>
      <c r="F61" s="20"/>
      <c r="G61" s="20"/>
      <c r="H61" s="20"/>
      <c r="I61" s="20"/>
      <c r="J61" s="20"/>
    </row>
    <row r="62" spans="2:10">
      <c r="B62" s="20"/>
      <c r="C62" s="20"/>
      <c r="D62" s="20"/>
      <c r="E62" s="20"/>
      <c r="F62" s="20"/>
      <c r="G62" s="20"/>
      <c r="H62" s="20"/>
      <c r="I62" s="20"/>
      <c r="J62" s="20"/>
    </row>
    <row r="63" spans="2:10">
      <c r="B63" s="20"/>
      <c r="C63" s="20"/>
      <c r="D63" s="20"/>
      <c r="E63" s="20"/>
      <c r="F63" s="20"/>
      <c r="G63" s="20"/>
      <c r="H63" s="20"/>
      <c r="I63" s="20"/>
      <c r="J63" s="20"/>
    </row>
    <row r="64" spans="2:10">
      <c r="B64" s="20"/>
      <c r="C64" s="20"/>
      <c r="D64" s="20"/>
      <c r="E64" s="20"/>
      <c r="F64" s="20"/>
      <c r="G64" s="20"/>
      <c r="H64" s="20"/>
      <c r="I64" s="20"/>
      <c r="J64" s="20"/>
    </row>
    <row r="65" spans="2:10">
      <c r="B65" s="20"/>
      <c r="C65" s="20"/>
      <c r="D65" s="20"/>
      <c r="E65" s="20"/>
      <c r="F65" s="20"/>
      <c r="G65" s="20"/>
      <c r="H65" s="20"/>
      <c r="I65" s="20"/>
      <c r="J65" s="20"/>
    </row>
    <row r="66" spans="2:10">
      <c r="B66" s="20"/>
      <c r="C66" s="20"/>
      <c r="D66" s="20"/>
      <c r="E66" s="20"/>
      <c r="F66" s="20"/>
      <c r="G66" s="20"/>
      <c r="H66" s="20"/>
      <c r="I66" s="20"/>
      <c r="J66" s="20"/>
    </row>
    <row r="67" spans="2:10">
      <c r="B67" s="20"/>
      <c r="C67" s="20"/>
      <c r="D67" s="20"/>
      <c r="E67" s="20"/>
      <c r="F67" s="20"/>
      <c r="G67" s="20"/>
      <c r="H67" s="20"/>
      <c r="I67" s="20"/>
      <c r="J67" s="20"/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26" sqref="M26"/>
    </sheetView>
  </sheetViews>
  <sheetFormatPr defaultColWidth="9.140625" defaultRowHeight="15"/>
  <cols>
    <col min="1" max="1" width="30.42578125" style="7" bestFit="1" customWidth="1"/>
    <col min="2" max="2" width="15.7109375" style="7" bestFit="1" customWidth="1"/>
    <col min="3" max="4" width="14.7109375" style="7" bestFit="1" customWidth="1"/>
    <col min="5" max="5" width="15.28515625" style="7" bestFit="1" customWidth="1"/>
    <col min="6" max="16384" width="9.140625" style="7"/>
  </cols>
  <sheetData>
    <row r="1" spans="1:12">
      <c r="A1" s="40" t="s">
        <v>376</v>
      </c>
      <c r="B1" s="37"/>
      <c r="C1" s="37"/>
      <c r="D1" s="37"/>
      <c r="E1" s="37"/>
      <c r="F1"/>
      <c r="G1"/>
      <c r="H1"/>
      <c r="I1"/>
      <c r="J1"/>
      <c r="K1"/>
      <c r="L1"/>
    </row>
    <row r="2" spans="1:12">
      <c r="A2" s="40" t="s">
        <v>377</v>
      </c>
      <c r="B2" s="37"/>
      <c r="C2" s="37"/>
      <c r="D2" s="37"/>
      <c r="E2" s="37"/>
      <c r="F2"/>
      <c r="G2"/>
      <c r="H2"/>
      <c r="I2"/>
      <c r="J2"/>
      <c r="K2"/>
      <c r="L2"/>
    </row>
    <row r="3" spans="1:12">
      <c r="A3" s="41" t="s">
        <v>450</v>
      </c>
      <c r="B3" s="37"/>
      <c r="C3" s="37"/>
      <c r="D3" s="37"/>
      <c r="E3" s="37"/>
      <c r="F3"/>
      <c r="G3"/>
      <c r="H3"/>
      <c r="I3"/>
      <c r="J3"/>
      <c r="K3"/>
      <c r="L3"/>
    </row>
    <row r="4" spans="1:12">
      <c r="A4" s="41" t="s">
        <v>449</v>
      </c>
      <c r="B4" s="37"/>
      <c r="C4" s="37"/>
      <c r="D4" s="37"/>
      <c r="E4" s="37"/>
      <c r="F4"/>
      <c r="G4"/>
      <c r="H4"/>
      <c r="I4"/>
      <c r="J4"/>
      <c r="K4"/>
      <c r="L4"/>
    </row>
    <row r="5" spans="1:12">
      <c r="A5" s="37"/>
      <c r="B5" s="37"/>
      <c r="C5" s="37"/>
      <c r="D5" s="37"/>
      <c r="E5" s="37"/>
      <c r="F5"/>
      <c r="G5"/>
      <c r="H5"/>
      <c r="I5"/>
      <c r="J5"/>
      <c r="K5"/>
      <c r="L5"/>
    </row>
    <row r="6" spans="1:12">
      <c r="A6" s="37" t="s">
        <v>374</v>
      </c>
      <c r="B6" s="37" t="s">
        <v>373</v>
      </c>
      <c r="C6" s="37" t="s">
        <v>372</v>
      </c>
      <c r="D6" s="37" t="s">
        <v>371</v>
      </c>
      <c r="E6" s="37" t="s">
        <v>370</v>
      </c>
      <c r="F6"/>
      <c r="G6"/>
      <c r="H6"/>
      <c r="I6"/>
      <c r="J6"/>
      <c r="K6"/>
      <c r="L6"/>
    </row>
    <row r="7" spans="1:12">
      <c r="A7" s="37" t="s">
        <v>447</v>
      </c>
      <c r="B7" s="38">
        <v>58697412.68</v>
      </c>
      <c r="C7" s="38">
        <v>851297.63</v>
      </c>
      <c r="D7" s="38">
        <v>3254379.81</v>
      </c>
      <c r="E7" s="38">
        <v>54591735.240000002</v>
      </c>
      <c r="F7"/>
      <c r="G7"/>
      <c r="H7"/>
      <c r="I7"/>
      <c r="J7"/>
      <c r="K7"/>
      <c r="L7"/>
    </row>
    <row r="8" spans="1:12">
      <c r="A8" s="37" t="s">
        <v>448</v>
      </c>
      <c r="B8" s="38">
        <v>57567934.399999999</v>
      </c>
      <c r="C8" s="38">
        <v>687344.76</v>
      </c>
      <c r="D8" s="38">
        <v>2939183.36</v>
      </c>
      <c r="E8" s="38">
        <v>53941406.280000001</v>
      </c>
      <c r="F8"/>
      <c r="G8"/>
      <c r="H8"/>
      <c r="I8"/>
      <c r="J8"/>
      <c r="K8"/>
      <c r="L8"/>
    </row>
    <row r="9" spans="1:12">
      <c r="A9" s="37"/>
      <c r="B9" s="39">
        <f>SUM(B7:B8)</f>
        <v>116265347.08</v>
      </c>
      <c r="C9" s="39">
        <f t="shared" ref="C9:E9" si="0">SUM(C7:C8)</f>
        <v>1538642.3900000001</v>
      </c>
      <c r="D9" s="39">
        <f t="shared" si="0"/>
        <v>6193563.1699999999</v>
      </c>
      <c r="E9" s="39">
        <f t="shared" si="0"/>
        <v>108533141.52000001</v>
      </c>
      <c r="F9"/>
      <c r="G9"/>
      <c r="H9"/>
      <c r="I9"/>
      <c r="J9"/>
      <c r="K9"/>
      <c r="L9"/>
    </row>
    <row r="10" spans="1:12">
      <c r="A10"/>
      <c r="B10"/>
      <c r="C10"/>
      <c r="D10"/>
      <c r="E10"/>
      <c r="F10"/>
      <c r="G10"/>
      <c r="H10"/>
      <c r="I10"/>
      <c r="J10"/>
      <c r="K10"/>
      <c r="L10"/>
    </row>
    <row r="11" spans="1:12">
      <c r="A11" s="37"/>
      <c r="B11" s="569"/>
      <c r="C11" s="569"/>
      <c r="D11" s="569"/>
      <c r="E11"/>
      <c r="F11"/>
      <c r="G11"/>
      <c r="H11"/>
      <c r="I11"/>
      <c r="J11"/>
      <c r="K11"/>
      <c r="L11"/>
    </row>
    <row r="12" spans="1:12">
      <c r="A12"/>
      <c r="B12"/>
      <c r="C12" s="741"/>
      <c r="D12" s="741"/>
      <c r="E12"/>
      <c r="F12"/>
      <c r="G12"/>
      <c r="H12"/>
      <c r="I12"/>
      <c r="J12"/>
      <c r="K12"/>
      <c r="L12"/>
    </row>
    <row r="13" spans="1:12">
      <c r="A13"/>
      <c r="B13"/>
      <c r="C13" s="742"/>
      <c r="D13" s="742"/>
      <c r="E13"/>
      <c r="F13"/>
      <c r="G13"/>
      <c r="H13"/>
      <c r="I13"/>
      <c r="J13"/>
      <c r="K13"/>
      <c r="L13"/>
    </row>
    <row r="14" spans="1:12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/>
      <c r="B15"/>
      <c r="C15"/>
      <c r="D15"/>
      <c r="E15"/>
      <c r="F15"/>
      <c r="G15"/>
      <c r="H15"/>
      <c r="I15"/>
      <c r="J15"/>
      <c r="K15"/>
      <c r="L15"/>
    </row>
    <row r="16" spans="1:12">
      <c r="A16"/>
      <c r="B16"/>
      <c r="C16"/>
      <c r="D16"/>
      <c r="E16"/>
      <c r="F16"/>
      <c r="G16"/>
      <c r="H16"/>
      <c r="I16"/>
      <c r="J16"/>
      <c r="K16"/>
      <c r="L16"/>
    </row>
    <row r="17" spans="1:12">
      <c r="A17"/>
      <c r="B17"/>
      <c r="C17"/>
      <c r="D17"/>
      <c r="E17"/>
      <c r="F17"/>
      <c r="G17"/>
      <c r="H17"/>
      <c r="I17"/>
      <c r="J17"/>
      <c r="K17"/>
      <c r="L17"/>
    </row>
    <row r="18" spans="1:12">
      <c r="A18"/>
      <c r="B18"/>
      <c r="C18"/>
      <c r="D18"/>
      <c r="E18"/>
      <c r="F18"/>
      <c r="G18"/>
      <c r="H18"/>
      <c r="I18"/>
      <c r="J18"/>
      <c r="K18"/>
      <c r="L18"/>
    </row>
    <row r="19" spans="1:12">
      <c r="A19"/>
      <c r="B19"/>
      <c r="C19"/>
      <c r="D19"/>
      <c r="E19"/>
      <c r="F19"/>
      <c r="G19"/>
      <c r="H19"/>
      <c r="I19"/>
      <c r="J19"/>
      <c r="K19"/>
      <c r="L19"/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/>
      <c r="B23"/>
      <c r="C23"/>
      <c r="D23"/>
      <c r="E23"/>
      <c r="F23"/>
      <c r="G23"/>
      <c r="H23"/>
      <c r="I23"/>
      <c r="J23"/>
      <c r="K23"/>
      <c r="L23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</sheetData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40"/>
  <sheetViews>
    <sheetView topLeftCell="C1" workbookViewId="0">
      <pane ySplit="12" topLeftCell="A608" activePane="bottomLeft" state="frozen"/>
      <selection activeCell="M26" sqref="M26"/>
      <selection pane="bottomLeft" activeCell="M26" sqref="M26"/>
    </sheetView>
  </sheetViews>
  <sheetFormatPr defaultRowHeight="15"/>
  <cols>
    <col min="1" max="1" width="17.5703125" style="709" customWidth="1"/>
    <col min="2" max="2" width="46.5703125" style="709" bestFit="1" customWidth="1"/>
    <col min="3" max="3" width="15.5703125" style="709" bestFit="1" customWidth="1"/>
    <col min="4" max="4" width="40.5703125" style="709" hidden="1" customWidth="1"/>
    <col min="5" max="5" width="18.5703125" style="709" bestFit="1" customWidth="1"/>
    <col min="6" max="6" width="60.140625" style="709" bestFit="1" customWidth="1"/>
    <col min="7" max="7" width="11.28515625" style="709" bestFit="1" customWidth="1"/>
    <col min="8" max="8" width="11.28515625" style="709" hidden="1" customWidth="1"/>
    <col min="9" max="9" width="37.28515625" style="709" hidden="1" customWidth="1"/>
    <col min="10" max="10" width="12.7109375" style="709" hidden="1" customWidth="1"/>
    <col min="11" max="11" width="27.85546875" style="709" bestFit="1" customWidth="1"/>
    <col min="12" max="12" width="14.28515625" style="709" bestFit="1" customWidth="1"/>
    <col min="13" max="16" width="12.28515625" style="709" bestFit="1" customWidth="1"/>
    <col min="17" max="17" width="3.85546875" style="709" customWidth="1"/>
    <col min="18" max="18" width="13.28515625" style="709" bestFit="1" customWidth="1"/>
    <col min="19" max="16384" width="9.140625" style="709"/>
  </cols>
  <sheetData>
    <row r="1" spans="1:16">
      <c r="D1" s="709" t="s">
        <v>695</v>
      </c>
      <c r="H1" s="709" t="s">
        <v>695</v>
      </c>
      <c r="I1" s="709" t="s">
        <v>695</v>
      </c>
      <c r="J1" s="709" t="s">
        <v>695</v>
      </c>
      <c r="K1" s="709" t="s">
        <v>1372</v>
      </c>
    </row>
    <row r="2" spans="1:16">
      <c r="A2" s="710" t="s">
        <v>696</v>
      </c>
      <c r="B2" s="710" t="s">
        <v>674</v>
      </c>
      <c r="C2" s="710" t="s">
        <v>697</v>
      </c>
      <c r="D2" s="709" t="s">
        <v>698</v>
      </c>
      <c r="E2" s="710" t="s">
        <v>699</v>
      </c>
      <c r="F2" s="710" t="s">
        <v>700</v>
      </c>
      <c r="G2" s="710" t="s">
        <v>701</v>
      </c>
      <c r="H2" s="709" t="s">
        <v>674</v>
      </c>
      <c r="I2" s="709" t="s">
        <v>702</v>
      </c>
      <c r="J2" s="709" t="s">
        <v>703</v>
      </c>
      <c r="K2" s="718" t="s">
        <v>704</v>
      </c>
      <c r="L2" s="711">
        <v>2022</v>
      </c>
      <c r="M2" s="711">
        <v>2023</v>
      </c>
      <c r="N2" s="711">
        <v>2024</v>
      </c>
      <c r="O2" s="711">
        <v>2025</v>
      </c>
      <c r="P2" s="711">
        <v>2026</v>
      </c>
    </row>
    <row r="3" spans="1:16" hidden="1">
      <c r="A3" s="709" t="s">
        <v>403</v>
      </c>
      <c r="B3" s="709" t="s">
        <v>705</v>
      </c>
      <c r="C3" s="709" t="s">
        <v>706</v>
      </c>
      <c r="D3" s="709" t="s">
        <v>707</v>
      </c>
      <c r="E3" s="709" t="s">
        <v>708</v>
      </c>
      <c r="F3" s="709" t="s">
        <v>709</v>
      </c>
      <c r="G3" s="709" t="s">
        <v>710</v>
      </c>
      <c r="H3" s="709">
        <v>9801</v>
      </c>
      <c r="I3" s="709" t="s">
        <v>711</v>
      </c>
      <c r="J3" s="709">
        <v>63300191</v>
      </c>
      <c r="K3" s="709" t="s">
        <v>712</v>
      </c>
      <c r="L3" s="712">
        <v>1109247.5790521323</v>
      </c>
      <c r="M3" s="712">
        <v>1172145.75</v>
      </c>
      <c r="N3" s="712">
        <v>1172145.75</v>
      </c>
      <c r="O3" s="712">
        <v>945234</v>
      </c>
      <c r="P3" s="712">
        <v>955277.41055749531</v>
      </c>
    </row>
    <row r="4" spans="1:16" hidden="1">
      <c r="A4" s="709" t="s">
        <v>287</v>
      </c>
      <c r="B4" s="709" t="s">
        <v>705</v>
      </c>
      <c r="C4" s="709" t="s">
        <v>713</v>
      </c>
      <c r="D4" s="709" t="s">
        <v>714</v>
      </c>
      <c r="E4" s="709" t="s">
        <v>715</v>
      </c>
      <c r="F4" s="709" t="s">
        <v>716</v>
      </c>
      <c r="G4" s="709" t="s">
        <v>710</v>
      </c>
      <c r="H4" s="709">
        <v>9801</v>
      </c>
      <c r="I4" s="709" t="s">
        <v>711</v>
      </c>
      <c r="J4" s="709">
        <v>63300191</v>
      </c>
      <c r="K4" s="709" t="s">
        <v>712</v>
      </c>
      <c r="L4" s="712">
        <v>305401.66994089691</v>
      </c>
      <c r="M4" s="712">
        <v>322719</v>
      </c>
      <c r="N4" s="712">
        <v>322719</v>
      </c>
      <c r="O4" s="712">
        <v>322719</v>
      </c>
      <c r="P4" s="712">
        <v>326147.99156368087</v>
      </c>
    </row>
    <row r="5" spans="1:16" hidden="1">
      <c r="A5" s="709" t="s">
        <v>399</v>
      </c>
      <c r="B5" s="709" t="s">
        <v>705</v>
      </c>
      <c r="C5" s="709" t="s">
        <v>717</v>
      </c>
      <c r="D5" s="709" t="s">
        <v>718</v>
      </c>
      <c r="E5" s="709" t="s">
        <v>719</v>
      </c>
      <c r="F5" s="709" t="s">
        <v>720</v>
      </c>
      <c r="G5" s="709" t="s">
        <v>710</v>
      </c>
      <c r="H5" s="709">
        <v>9801</v>
      </c>
      <c r="I5" s="709" t="s">
        <v>711</v>
      </c>
      <c r="J5" s="709">
        <v>63300191</v>
      </c>
      <c r="K5" s="709" t="s">
        <v>712</v>
      </c>
      <c r="L5" s="712">
        <v>1146694.5227037615</v>
      </c>
      <c r="M5" s="712">
        <v>1211716.0647616999</v>
      </c>
      <c r="N5" s="712">
        <v>1150460.9314284001</v>
      </c>
      <c r="O5" s="712">
        <v>1150460.9314284001</v>
      </c>
      <c r="P5" s="712">
        <v>1162684.9431172453</v>
      </c>
    </row>
    <row r="6" spans="1:16" hidden="1">
      <c r="A6" s="709" t="s">
        <v>398</v>
      </c>
      <c r="B6" s="709" t="s">
        <v>705</v>
      </c>
      <c r="C6" s="709" t="s">
        <v>721</v>
      </c>
      <c r="D6" s="709" t="s">
        <v>722</v>
      </c>
      <c r="E6" s="709" t="s">
        <v>723</v>
      </c>
      <c r="F6" s="709" t="s">
        <v>724</v>
      </c>
      <c r="G6" s="709" t="s">
        <v>710</v>
      </c>
      <c r="H6" s="709">
        <v>9801</v>
      </c>
      <c r="I6" s="709" t="s">
        <v>711</v>
      </c>
      <c r="J6" s="709">
        <v>63300191</v>
      </c>
      <c r="K6" s="709" t="s">
        <v>712</v>
      </c>
      <c r="L6" s="712">
        <v>1697256.2450678558</v>
      </c>
      <c r="M6" s="712">
        <v>1793496.5393544</v>
      </c>
      <c r="N6" s="712">
        <v>1632159.2793544</v>
      </c>
      <c r="O6" s="712">
        <v>1468577.9593543999</v>
      </c>
      <c r="P6" s="712">
        <v>1484182.0651964294</v>
      </c>
    </row>
    <row r="7" spans="1:16" hidden="1">
      <c r="A7" s="709" t="s">
        <v>400</v>
      </c>
      <c r="B7" s="709" t="s">
        <v>705</v>
      </c>
      <c r="C7" s="709" t="s">
        <v>725</v>
      </c>
      <c r="D7" s="709" t="s">
        <v>726</v>
      </c>
      <c r="E7" s="709" t="s">
        <v>727</v>
      </c>
      <c r="F7" s="709" t="s">
        <v>728</v>
      </c>
      <c r="G7" s="709" t="s">
        <v>710</v>
      </c>
      <c r="H7" s="709">
        <v>9801</v>
      </c>
      <c r="I7" s="709" t="s">
        <v>711</v>
      </c>
      <c r="J7" s="709">
        <v>63300191</v>
      </c>
      <c r="K7" s="709" t="s">
        <v>712</v>
      </c>
      <c r="L7" s="712">
        <v>1016089.3167821051</v>
      </c>
      <c r="M7" s="712">
        <v>1073705.0923331999</v>
      </c>
      <c r="N7" s="712">
        <v>665938.59</v>
      </c>
      <c r="O7" s="712">
        <v>374676.8445456</v>
      </c>
      <c r="P7" s="712">
        <v>378657.9046599826</v>
      </c>
    </row>
    <row r="8" spans="1:16" hidden="1">
      <c r="A8" s="709" t="s">
        <v>541</v>
      </c>
      <c r="B8" s="709" t="s">
        <v>705</v>
      </c>
      <c r="C8" s="709" t="s">
        <v>729</v>
      </c>
      <c r="D8" s="709" t="s">
        <v>730</v>
      </c>
      <c r="E8" s="709" t="s">
        <v>731</v>
      </c>
      <c r="F8" s="709" t="s">
        <v>732</v>
      </c>
      <c r="G8" s="709" t="s">
        <v>710</v>
      </c>
      <c r="H8" s="709">
        <v>9801</v>
      </c>
      <c r="I8" s="709" t="s">
        <v>711</v>
      </c>
      <c r="J8" s="709">
        <v>63300191</v>
      </c>
      <c r="K8" s="709" t="s">
        <v>712</v>
      </c>
      <c r="L8" s="712">
        <v>74836.511203016024</v>
      </c>
      <c r="M8" s="712">
        <v>79080</v>
      </c>
      <c r="N8" s="712">
        <v>79080</v>
      </c>
      <c r="O8" s="712">
        <v>79080</v>
      </c>
      <c r="P8" s="712">
        <v>79920.25004061083</v>
      </c>
    </row>
    <row r="9" spans="1:16" hidden="1">
      <c r="A9" s="709" t="s">
        <v>542</v>
      </c>
      <c r="B9" s="709" t="s">
        <v>705</v>
      </c>
      <c r="C9" s="709" t="s">
        <v>733</v>
      </c>
      <c r="D9" s="709" t="s">
        <v>734</v>
      </c>
      <c r="E9" s="709" t="s">
        <v>735</v>
      </c>
      <c r="F9" s="709" t="s">
        <v>736</v>
      </c>
      <c r="G9" s="709" t="s">
        <v>710</v>
      </c>
      <c r="H9" s="709">
        <v>9801</v>
      </c>
      <c r="I9" s="709" t="s">
        <v>711</v>
      </c>
      <c r="J9" s="709">
        <v>63300191</v>
      </c>
      <c r="K9" s="709" t="s">
        <v>712</v>
      </c>
      <c r="L9" s="712">
        <v>156596.70564053385</v>
      </c>
      <c r="M9" s="712">
        <v>165476.28</v>
      </c>
      <c r="N9" s="712">
        <v>0</v>
      </c>
      <c r="O9" s="712">
        <v>0</v>
      </c>
      <c r="P9" s="712">
        <v>0</v>
      </c>
    </row>
    <row r="10" spans="1:16" hidden="1">
      <c r="A10" s="709" t="s">
        <v>402</v>
      </c>
      <c r="B10" s="709" t="s">
        <v>705</v>
      </c>
      <c r="C10" s="709" t="s">
        <v>737</v>
      </c>
      <c r="D10" s="709" t="s">
        <v>738</v>
      </c>
      <c r="E10" s="709" t="s">
        <v>739</v>
      </c>
      <c r="F10" s="709" t="s">
        <v>740</v>
      </c>
      <c r="G10" s="709" t="s">
        <v>710</v>
      </c>
      <c r="H10" s="709">
        <v>9801</v>
      </c>
      <c r="I10" s="709" t="s">
        <v>711</v>
      </c>
      <c r="J10" s="709">
        <v>63300191</v>
      </c>
      <c r="K10" s="709" t="s">
        <v>712</v>
      </c>
      <c r="L10" s="712">
        <v>538988.8496467279</v>
      </c>
      <c r="M10" s="712">
        <v>569551.38</v>
      </c>
      <c r="N10" s="712">
        <v>569551.38</v>
      </c>
      <c r="O10" s="712">
        <v>569551.38</v>
      </c>
      <c r="P10" s="712">
        <v>575603.04376043181</v>
      </c>
    </row>
    <row r="11" spans="1:16" hidden="1">
      <c r="A11" s="709" t="s">
        <v>401</v>
      </c>
      <c r="B11" s="709" t="s">
        <v>705</v>
      </c>
      <c r="C11" s="709" t="s">
        <v>741</v>
      </c>
      <c r="D11" s="709" t="s">
        <v>742</v>
      </c>
      <c r="E11" s="709" t="s">
        <v>743</v>
      </c>
      <c r="F11" s="709" t="s">
        <v>744</v>
      </c>
      <c r="G11" s="709" t="s">
        <v>710</v>
      </c>
      <c r="H11" s="709">
        <v>9801</v>
      </c>
      <c r="I11" s="709" t="s">
        <v>711</v>
      </c>
      <c r="J11" s="709">
        <v>63300191</v>
      </c>
      <c r="K11" s="709" t="s">
        <v>712</v>
      </c>
      <c r="L11" s="712">
        <v>656606.97546127811</v>
      </c>
      <c r="M11" s="712">
        <v>693838.86</v>
      </c>
      <c r="N11" s="712">
        <v>590669.4</v>
      </c>
      <c r="O11" s="712">
        <v>324999.96000000002</v>
      </c>
      <c r="P11" s="712">
        <v>328453.18748594483</v>
      </c>
    </row>
    <row r="12" spans="1:16" hidden="1">
      <c r="A12" s="709" t="s">
        <v>408</v>
      </c>
      <c r="B12" s="709" t="s">
        <v>705</v>
      </c>
      <c r="C12" s="709" t="s">
        <v>745</v>
      </c>
      <c r="D12" s="709" t="s">
        <v>746</v>
      </c>
      <c r="E12" s="709" t="s">
        <v>747</v>
      </c>
      <c r="F12" s="709" t="s">
        <v>748</v>
      </c>
      <c r="G12" s="709" t="s">
        <v>710</v>
      </c>
      <c r="H12" s="709">
        <v>9801</v>
      </c>
      <c r="I12" s="709" t="s">
        <v>711</v>
      </c>
      <c r="J12" s="709">
        <v>63300191</v>
      </c>
      <c r="K12" s="709" t="s">
        <v>712</v>
      </c>
      <c r="L12" s="712">
        <v>1577656.031144175</v>
      </c>
      <c r="M12" s="712">
        <v>1667114.58</v>
      </c>
      <c r="N12" s="712">
        <v>2226076.3300001998</v>
      </c>
      <c r="O12" s="712">
        <v>3031637.8300001998</v>
      </c>
      <c r="P12" s="712">
        <v>3063849.9419093421</v>
      </c>
    </row>
    <row r="13" spans="1:16">
      <c r="A13" s="709" t="s">
        <v>133</v>
      </c>
      <c r="B13" s="709" t="s">
        <v>662</v>
      </c>
      <c r="C13" s="709" t="s">
        <v>749</v>
      </c>
      <c r="D13" s="709" t="s">
        <v>750</v>
      </c>
      <c r="E13" s="709" t="s">
        <v>751</v>
      </c>
      <c r="F13" s="709" t="s">
        <v>752</v>
      </c>
      <c r="G13" s="709" t="s">
        <v>753</v>
      </c>
      <c r="H13" s="709">
        <v>5327</v>
      </c>
      <c r="I13" s="709" t="s">
        <v>754</v>
      </c>
      <c r="J13" s="709">
        <v>63300080</v>
      </c>
      <c r="K13" s="709" t="s">
        <v>755</v>
      </c>
      <c r="L13" s="712">
        <v>107159.45993620747</v>
      </c>
      <c r="M13" s="712">
        <v>113235.7716244496</v>
      </c>
      <c r="N13" s="712">
        <v>116632.8447731831</v>
      </c>
      <c r="O13" s="712">
        <v>120131.83011637859</v>
      </c>
      <c r="P13" s="712">
        <v>121408.26885100099</v>
      </c>
    </row>
    <row r="14" spans="1:16">
      <c r="A14" s="709" t="s">
        <v>133</v>
      </c>
      <c r="B14" s="709" t="s">
        <v>662</v>
      </c>
      <c r="C14" s="709" t="s">
        <v>756</v>
      </c>
      <c r="D14" s="709" t="s">
        <v>757</v>
      </c>
      <c r="E14" s="709" t="s">
        <v>758</v>
      </c>
      <c r="F14" s="709" t="s">
        <v>759</v>
      </c>
      <c r="G14" s="709" t="s">
        <v>753</v>
      </c>
      <c r="H14" s="709">
        <v>5327</v>
      </c>
      <c r="I14" s="709" t="s">
        <v>754</v>
      </c>
      <c r="J14" s="709">
        <v>63300080</v>
      </c>
      <c r="K14" s="709" t="s">
        <v>755</v>
      </c>
      <c r="L14" s="712">
        <v>9846.8797306035376</v>
      </c>
      <c r="M14" s="712">
        <v>10405.231839091201</v>
      </c>
      <c r="N14" s="712">
        <v>10717.388794263936</v>
      </c>
      <c r="O14" s="712">
        <v>11038.910458091854</v>
      </c>
      <c r="P14" s="712">
        <v>11156.202377170141</v>
      </c>
    </row>
    <row r="15" spans="1:16">
      <c r="A15" s="709" t="s">
        <v>133</v>
      </c>
      <c r="B15" s="709" t="s">
        <v>662</v>
      </c>
      <c r="C15" s="709" t="s">
        <v>760</v>
      </c>
      <c r="D15" s="709" t="s">
        <v>761</v>
      </c>
      <c r="E15" s="709" t="s">
        <v>762</v>
      </c>
      <c r="F15" s="709" t="s">
        <v>763</v>
      </c>
      <c r="G15" s="709" t="s">
        <v>753</v>
      </c>
      <c r="H15" s="709">
        <v>5327</v>
      </c>
      <c r="I15" s="709" t="s">
        <v>754</v>
      </c>
      <c r="J15" s="709">
        <v>63300080</v>
      </c>
      <c r="K15" s="709" t="s">
        <v>755</v>
      </c>
      <c r="L15" s="712">
        <v>60977.188745536048</v>
      </c>
      <c r="M15" s="712">
        <v>64434.806065660814</v>
      </c>
      <c r="N15" s="712">
        <v>66367.850247630646</v>
      </c>
      <c r="O15" s="712">
        <v>68358.885755059571</v>
      </c>
      <c r="P15" s="712">
        <v>69085.220561986731</v>
      </c>
    </row>
    <row r="16" spans="1:16">
      <c r="A16" s="709" t="s">
        <v>126</v>
      </c>
      <c r="B16" s="709" t="s">
        <v>663</v>
      </c>
      <c r="C16" s="709" t="s">
        <v>764</v>
      </c>
      <c r="D16" s="709" t="s">
        <v>765</v>
      </c>
      <c r="E16" s="709" t="s">
        <v>766</v>
      </c>
      <c r="F16" s="709" t="s">
        <v>767</v>
      </c>
      <c r="G16" s="709" t="s">
        <v>753</v>
      </c>
      <c r="H16" s="709">
        <v>5325</v>
      </c>
      <c r="I16" s="709" t="s">
        <v>768</v>
      </c>
      <c r="J16" s="709">
        <v>63300080</v>
      </c>
      <c r="K16" s="709" t="s">
        <v>755</v>
      </c>
      <c r="L16" s="712">
        <v>93901.537460479827</v>
      </c>
      <c r="M16" s="712">
        <v>99226.079129079924</v>
      </c>
      <c r="N16" s="712">
        <v>102202.86150295232</v>
      </c>
      <c r="O16" s="712">
        <v>105268.94734804089</v>
      </c>
      <c r="P16" s="712">
        <v>106387.46324693125</v>
      </c>
    </row>
    <row r="17" spans="1:16">
      <c r="A17" s="709" t="s">
        <v>126</v>
      </c>
      <c r="B17" s="709" t="s">
        <v>663</v>
      </c>
      <c r="C17" s="709" t="s">
        <v>769</v>
      </c>
      <c r="D17" s="709" t="s">
        <v>770</v>
      </c>
      <c r="E17" s="709" t="s">
        <v>771</v>
      </c>
      <c r="F17" s="709" t="s">
        <v>772</v>
      </c>
      <c r="G17" s="709" t="s">
        <v>753</v>
      </c>
      <c r="H17" s="709">
        <v>5325</v>
      </c>
      <c r="I17" s="709" t="s">
        <v>768</v>
      </c>
      <c r="J17" s="709">
        <v>63300080</v>
      </c>
      <c r="K17" s="709" t="s">
        <v>755</v>
      </c>
      <c r="L17" s="712">
        <v>37498.625748291117</v>
      </c>
      <c r="M17" s="712">
        <v>39624.927411840006</v>
      </c>
      <c r="N17" s="712">
        <v>40813.675234195209</v>
      </c>
      <c r="O17" s="712">
        <v>42038.085491221063</v>
      </c>
      <c r="P17" s="712">
        <v>42484.753460887223</v>
      </c>
    </row>
    <row r="18" spans="1:16">
      <c r="A18" s="709" t="s">
        <v>127</v>
      </c>
      <c r="B18" s="709" t="s">
        <v>663</v>
      </c>
      <c r="C18" s="709" t="s">
        <v>773</v>
      </c>
      <c r="D18" s="709" t="s">
        <v>774</v>
      </c>
      <c r="E18" s="709" t="s">
        <v>775</v>
      </c>
      <c r="F18" s="709" t="s">
        <v>776</v>
      </c>
      <c r="G18" s="709" t="s">
        <v>753</v>
      </c>
      <c r="H18" s="709">
        <v>5325</v>
      </c>
      <c r="I18" s="709" t="s">
        <v>768</v>
      </c>
      <c r="J18" s="709">
        <v>63300080</v>
      </c>
      <c r="K18" s="709" t="s">
        <v>755</v>
      </c>
      <c r="L18" s="712">
        <v>93901.537460537453</v>
      </c>
      <c r="M18" s="712">
        <v>99226.079129140824</v>
      </c>
      <c r="N18" s="712">
        <v>102202.86150301504</v>
      </c>
      <c r="O18" s="712">
        <v>105268.94734810549</v>
      </c>
      <c r="P18" s="712">
        <v>106387.46324699654</v>
      </c>
    </row>
    <row r="19" spans="1:16">
      <c r="A19" s="709" t="s">
        <v>127</v>
      </c>
      <c r="B19" s="709" t="s">
        <v>663</v>
      </c>
      <c r="C19" s="709" t="s">
        <v>777</v>
      </c>
      <c r="D19" s="709" t="s">
        <v>778</v>
      </c>
      <c r="E19" s="709" t="s">
        <v>779</v>
      </c>
      <c r="F19" s="709" t="s">
        <v>780</v>
      </c>
      <c r="G19" s="709" t="s">
        <v>753</v>
      </c>
      <c r="H19" s="709">
        <v>5325</v>
      </c>
      <c r="I19" s="709" t="s">
        <v>768</v>
      </c>
      <c r="J19" s="709">
        <v>63300080</v>
      </c>
      <c r="K19" s="709" t="s">
        <v>755</v>
      </c>
      <c r="L19" s="712">
        <v>37259.88203391563</v>
      </c>
      <c r="M19" s="712">
        <v>39372.646103835199</v>
      </c>
      <c r="N19" s="712">
        <v>40553.825486950256</v>
      </c>
      <c r="O19" s="712">
        <v>41770.440251558764</v>
      </c>
      <c r="P19" s="712">
        <v>42214.264405803886</v>
      </c>
    </row>
    <row r="20" spans="1:16">
      <c r="A20" s="709" t="s">
        <v>406</v>
      </c>
      <c r="B20" s="709" t="s">
        <v>664</v>
      </c>
      <c r="C20" s="709" t="s">
        <v>781</v>
      </c>
      <c r="D20" s="709" t="s">
        <v>782</v>
      </c>
      <c r="E20" s="709" t="s">
        <v>783</v>
      </c>
      <c r="F20" s="709" t="s">
        <v>784</v>
      </c>
      <c r="G20" s="709" t="s">
        <v>753</v>
      </c>
      <c r="H20" s="709">
        <v>5240</v>
      </c>
      <c r="I20" s="709" t="s">
        <v>785</v>
      </c>
      <c r="J20" s="709">
        <v>63300080</v>
      </c>
      <c r="K20" s="709" t="s">
        <v>755</v>
      </c>
      <c r="L20" s="712">
        <v>62830.985632708485</v>
      </c>
      <c r="M20" s="712">
        <v>66393.719642483033</v>
      </c>
      <c r="N20" s="712">
        <v>68385.531231757544</v>
      </c>
      <c r="O20" s="712">
        <v>70437.097168710257</v>
      </c>
      <c r="P20" s="712">
        <v>71185.513629971218</v>
      </c>
    </row>
    <row r="21" spans="1:16">
      <c r="A21" s="709" t="s">
        <v>406</v>
      </c>
      <c r="B21" s="709" t="s">
        <v>664</v>
      </c>
      <c r="C21" s="709" t="s">
        <v>786</v>
      </c>
      <c r="D21" s="709" t="s">
        <v>787</v>
      </c>
      <c r="E21" s="709" t="s">
        <v>788</v>
      </c>
      <c r="F21" s="709" t="s">
        <v>789</v>
      </c>
      <c r="G21" s="709" t="s">
        <v>753</v>
      </c>
      <c r="H21" s="709">
        <v>5240</v>
      </c>
      <c r="I21" s="709" t="s">
        <v>785</v>
      </c>
      <c r="J21" s="709">
        <v>63300080</v>
      </c>
      <c r="K21" s="709" t="s">
        <v>755</v>
      </c>
      <c r="L21" s="712">
        <v>153973.251855054</v>
      </c>
      <c r="M21" s="712">
        <v>162704.0673190408</v>
      </c>
      <c r="N21" s="712">
        <v>167585.18933861202</v>
      </c>
      <c r="O21" s="712">
        <v>172612.74501877039</v>
      </c>
      <c r="P21" s="712">
        <v>174446.81009226516</v>
      </c>
    </row>
    <row r="22" spans="1:16">
      <c r="A22" s="709" t="s">
        <v>406</v>
      </c>
      <c r="B22" s="709" t="s">
        <v>664</v>
      </c>
      <c r="C22" s="709" t="s">
        <v>790</v>
      </c>
      <c r="D22" s="709" t="s">
        <v>791</v>
      </c>
      <c r="E22" s="709" t="s">
        <v>792</v>
      </c>
      <c r="F22" s="709" t="s">
        <v>793</v>
      </c>
      <c r="G22" s="709" t="s">
        <v>753</v>
      </c>
      <c r="H22" s="709">
        <v>5240</v>
      </c>
      <c r="I22" s="709" t="s">
        <v>785</v>
      </c>
      <c r="J22" s="709">
        <v>63300080</v>
      </c>
      <c r="K22" s="709" t="s">
        <v>755</v>
      </c>
      <c r="L22" s="712">
        <v>97096.61078690672</v>
      </c>
      <c r="M22" s="712">
        <v>102602.32415429772</v>
      </c>
      <c r="N22" s="712">
        <v>105680.39387892667</v>
      </c>
      <c r="O22" s="712">
        <v>108850.80569529446</v>
      </c>
      <c r="P22" s="712">
        <v>110007.37997331661</v>
      </c>
    </row>
    <row r="23" spans="1:16">
      <c r="A23" s="709" t="s">
        <v>406</v>
      </c>
      <c r="B23" s="709" t="s">
        <v>664</v>
      </c>
      <c r="C23" s="709" t="s">
        <v>794</v>
      </c>
      <c r="D23" s="709" t="s">
        <v>795</v>
      </c>
      <c r="E23" s="709" t="s">
        <v>796</v>
      </c>
      <c r="F23" s="709" t="s">
        <v>797</v>
      </c>
      <c r="G23" s="709" t="s">
        <v>753</v>
      </c>
      <c r="H23" s="709">
        <v>5240</v>
      </c>
      <c r="I23" s="709" t="s">
        <v>785</v>
      </c>
      <c r="J23" s="709">
        <v>63300080</v>
      </c>
      <c r="K23" s="709" t="s">
        <v>755</v>
      </c>
      <c r="L23" s="712">
        <v>47765.854405543716</v>
      </c>
      <c r="M23" s="712">
        <v>50474.343414316798</v>
      </c>
      <c r="N23" s="712">
        <v>51988.573716746301</v>
      </c>
      <c r="O23" s="712">
        <v>53548.230928248697</v>
      </c>
      <c r="P23" s="712">
        <v>54117.197837860469</v>
      </c>
    </row>
    <row r="24" spans="1:16">
      <c r="A24" s="709" t="s">
        <v>406</v>
      </c>
      <c r="B24" s="709" t="s">
        <v>664</v>
      </c>
      <c r="C24" s="709" t="s">
        <v>798</v>
      </c>
      <c r="D24" s="709" t="s">
        <v>799</v>
      </c>
      <c r="E24" s="709" t="s">
        <v>800</v>
      </c>
      <c r="F24" s="709" t="s">
        <v>801</v>
      </c>
      <c r="G24" s="709" t="s">
        <v>753</v>
      </c>
      <c r="H24" s="709">
        <v>5240</v>
      </c>
      <c r="I24" s="709" t="s">
        <v>785</v>
      </c>
      <c r="J24" s="709">
        <v>63300080</v>
      </c>
      <c r="K24" s="709" t="s">
        <v>755</v>
      </c>
      <c r="L24" s="712">
        <v>181895.1221775903</v>
      </c>
      <c r="M24" s="712">
        <v>192209.20417818904</v>
      </c>
      <c r="N24" s="712">
        <v>197975.48030353471</v>
      </c>
      <c r="O24" s="712">
        <v>203914.74471264076</v>
      </c>
      <c r="P24" s="712">
        <v>206081.40344463295</v>
      </c>
    </row>
    <row r="25" spans="1:16">
      <c r="A25" s="709" t="s">
        <v>593</v>
      </c>
      <c r="B25" s="709" t="s">
        <v>665</v>
      </c>
      <c r="C25" s="709" t="s">
        <v>802</v>
      </c>
      <c r="D25" s="709" t="s">
        <v>803</v>
      </c>
      <c r="E25" s="709" t="s">
        <v>804</v>
      </c>
      <c r="F25" s="709" t="s">
        <v>805</v>
      </c>
      <c r="G25" s="709" t="s">
        <v>753</v>
      </c>
      <c r="H25" s="709">
        <v>5150</v>
      </c>
      <c r="I25" s="709" t="s">
        <v>806</v>
      </c>
      <c r="J25" s="709">
        <v>63300080</v>
      </c>
      <c r="K25" s="709" t="s">
        <v>755</v>
      </c>
      <c r="L25" s="712">
        <v>109687.90501542698</v>
      </c>
      <c r="M25" s="712">
        <v>115907.58827718288</v>
      </c>
      <c r="N25" s="712">
        <v>119384.81592549836</v>
      </c>
      <c r="O25" s="712">
        <v>122966.3604032633</v>
      </c>
      <c r="P25" s="712">
        <v>124272.91691973532</v>
      </c>
    </row>
    <row r="26" spans="1:16">
      <c r="A26" s="709" t="s">
        <v>593</v>
      </c>
      <c r="B26" s="709" t="s">
        <v>665</v>
      </c>
      <c r="C26" s="709" t="s">
        <v>807</v>
      </c>
      <c r="D26" s="709" t="s">
        <v>808</v>
      </c>
      <c r="E26" s="709" t="s">
        <v>809</v>
      </c>
      <c r="F26" s="709" t="s">
        <v>810</v>
      </c>
      <c r="G26" s="709" t="s">
        <v>753</v>
      </c>
      <c r="H26" s="709">
        <v>5150</v>
      </c>
      <c r="I26" s="709" t="s">
        <v>806</v>
      </c>
      <c r="J26" s="709">
        <v>63300080</v>
      </c>
      <c r="K26" s="709" t="s">
        <v>755</v>
      </c>
      <c r="L26" s="712">
        <v>255907.69305502245</v>
      </c>
      <c r="M26" s="712">
        <v>270418.54358886235</v>
      </c>
      <c r="N26" s="712">
        <v>278531.09989652823</v>
      </c>
      <c r="O26" s="712">
        <v>286887.03289342404</v>
      </c>
      <c r="P26" s="712">
        <v>289935.29846043739</v>
      </c>
    </row>
    <row r="27" spans="1:16">
      <c r="A27" s="709" t="s">
        <v>593</v>
      </c>
      <c r="B27" s="709" t="s">
        <v>665</v>
      </c>
      <c r="C27" s="709" t="s">
        <v>811</v>
      </c>
      <c r="D27" s="709" t="s">
        <v>812</v>
      </c>
      <c r="E27" s="709" t="s">
        <v>813</v>
      </c>
      <c r="F27" s="709" t="s">
        <v>814</v>
      </c>
      <c r="G27" s="709" t="s">
        <v>753</v>
      </c>
      <c r="H27" s="709">
        <v>5150</v>
      </c>
      <c r="I27" s="709" t="s">
        <v>806</v>
      </c>
      <c r="J27" s="709">
        <v>63300080</v>
      </c>
      <c r="K27" s="709" t="s">
        <v>755</v>
      </c>
      <c r="L27" s="712">
        <v>16081.124480107783</v>
      </c>
      <c r="M27" s="712">
        <v>16992.979809508706</v>
      </c>
      <c r="N27" s="712">
        <v>17502.769203793967</v>
      </c>
      <c r="O27" s="712">
        <v>18027.852279907784</v>
      </c>
      <c r="P27" s="712">
        <v>18219.403918885004</v>
      </c>
    </row>
    <row r="28" spans="1:16">
      <c r="A28" s="709" t="s">
        <v>593</v>
      </c>
      <c r="B28" s="709" t="s">
        <v>665</v>
      </c>
      <c r="C28" s="709" t="s">
        <v>815</v>
      </c>
      <c r="D28" s="709" t="s">
        <v>816</v>
      </c>
      <c r="E28" s="709" t="s">
        <v>817</v>
      </c>
      <c r="F28" s="709" t="s">
        <v>818</v>
      </c>
      <c r="G28" s="709" t="s">
        <v>753</v>
      </c>
      <c r="H28" s="709">
        <v>5150</v>
      </c>
      <c r="I28" s="709" t="s">
        <v>806</v>
      </c>
      <c r="J28" s="709">
        <v>63300080</v>
      </c>
      <c r="K28" s="709" t="s">
        <v>755</v>
      </c>
      <c r="L28" s="712">
        <v>503482.34588710393</v>
      </c>
      <c r="M28" s="712">
        <v>532031.53477774037</v>
      </c>
      <c r="N28" s="712">
        <v>547992.48082107259</v>
      </c>
      <c r="O28" s="712">
        <v>564432.25524570467</v>
      </c>
      <c r="P28" s="712">
        <v>570429.52668465592</v>
      </c>
    </row>
    <row r="29" spans="1:16">
      <c r="A29" s="709" t="s">
        <v>593</v>
      </c>
      <c r="B29" s="709" t="s">
        <v>665</v>
      </c>
      <c r="C29" s="709" t="s">
        <v>819</v>
      </c>
      <c r="D29" s="709" t="s">
        <v>820</v>
      </c>
      <c r="E29" s="709" t="s">
        <v>821</v>
      </c>
      <c r="F29" s="709" t="s">
        <v>822</v>
      </c>
      <c r="G29" s="709" t="s">
        <v>753</v>
      </c>
      <c r="H29" s="709">
        <v>5150</v>
      </c>
      <c r="I29" s="709" t="s">
        <v>806</v>
      </c>
      <c r="J29" s="709">
        <v>63300080</v>
      </c>
      <c r="K29" s="709" t="s">
        <v>755</v>
      </c>
      <c r="L29" s="712">
        <v>334428.845411335</v>
      </c>
      <c r="M29" s="712">
        <v>353392.11662852787</v>
      </c>
      <c r="N29" s="712">
        <v>363993.88012738375</v>
      </c>
      <c r="O29" s="712">
        <v>374913.69653120526</v>
      </c>
      <c r="P29" s="712">
        <v>378897.2732729339</v>
      </c>
    </row>
    <row r="30" spans="1:16">
      <c r="A30" s="709" t="s">
        <v>593</v>
      </c>
      <c r="B30" s="709" t="s">
        <v>666</v>
      </c>
      <c r="C30" s="709" t="s">
        <v>823</v>
      </c>
      <c r="D30" s="709" t="s">
        <v>824</v>
      </c>
      <c r="E30" s="709" t="s">
        <v>825</v>
      </c>
      <c r="F30" s="709" t="s">
        <v>826</v>
      </c>
      <c r="G30" s="709" t="s">
        <v>753</v>
      </c>
      <c r="H30" s="709">
        <v>5031</v>
      </c>
      <c r="I30" s="709" t="s">
        <v>827</v>
      </c>
      <c r="J30" s="709">
        <v>63300080</v>
      </c>
      <c r="K30" s="709" t="s">
        <v>755</v>
      </c>
      <c r="L30" s="712">
        <v>121960.42535391117</v>
      </c>
      <c r="M30" s="712">
        <v>128876.00292888322</v>
      </c>
      <c r="N30" s="712">
        <v>132742.28301674972</v>
      </c>
      <c r="O30" s="712">
        <v>136724.55150725221</v>
      </c>
      <c r="P30" s="712">
        <v>138177.29316072294</v>
      </c>
    </row>
    <row r="31" spans="1:16">
      <c r="A31" s="709" t="s">
        <v>397</v>
      </c>
      <c r="B31" s="709" t="s">
        <v>666</v>
      </c>
      <c r="C31" s="709" t="s">
        <v>828</v>
      </c>
      <c r="D31" s="709" t="s">
        <v>829</v>
      </c>
      <c r="E31" s="709" t="s">
        <v>830</v>
      </c>
      <c r="F31" s="709" t="s">
        <v>831</v>
      </c>
      <c r="G31" s="709" t="s">
        <v>753</v>
      </c>
      <c r="H31" s="709">
        <v>5031</v>
      </c>
      <c r="I31" s="709" t="s">
        <v>827</v>
      </c>
      <c r="J31" s="709">
        <v>63300080</v>
      </c>
      <c r="K31" s="709" t="s">
        <v>755</v>
      </c>
      <c r="L31" s="712">
        <v>16835.255525442499</v>
      </c>
      <c r="M31" s="712">
        <v>17789.872691156907</v>
      </c>
      <c r="N31" s="712">
        <v>18323.568871891617</v>
      </c>
      <c r="O31" s="712">
        <v>18873.275938048366</v>
      </c>
      <c r="P31" s="712">
        <v>19073.810471095967</v>
      </c>
    </row>
    <row r="32" spans="1:16">
      <c r="A32" s="709" t="s">
        <v>593</v>
      </c>
      <c r="B32" s="709" t="s">
        <v>666</v>
      </c>
      <c r="C32" s="709" t="s">
        <v>832</v>
      </c>
      <c r="D32" s="709" t="s">
        <v>833</v>
      </c>
      <c r="E32" s="709" t="s">
        <v>834</v>
      </c>
      <c r="F32" s="709" t="s">
        <v>835</v>
      </c>
      <c r="G32" s="709" t="s">
        <v>753</v>
      </c>
      <c r="H32" s="709">
        <v>5031</v>
      </c>
      <c r="I32" s="709" t="s">
        <v>827</v>
      </c>
      <c r="J32" s="709">
        <v>63300080</v>
      </c>
      <c r="K32" s="709" t="s">
        <v>755</v>
      </c>
      <c r="L32" s="712">
        <v>22760.234101052894</v>
      </c>
      <c r="M32" s="712">
        <v>24050.818026892801</v>
      </c>
      <c r="N32" s="712">
        <v>24772.342567699587</v>
      </c>
      <c r="O32" s="712">
        <v>25515.512844730572</v>
      </c>
      <c r="P32" s="712">
        <v>25786.62324817001</v>
      </c>
    </row>
    <row r="33" spans="1:16">
      <c r="A33" s="709" t="s">
        <v>398</v>
      </c>
      <c r="B33" s="709" t="s">
        <v>667</v>
      </c>
      <c r="C33" s="709" t="s">
        <v>836</v>
      </c>
      <c r="D33" s="709" t="s">
        <v>837</v>
      </c>
      <c r="E33" s="709" t="s">
        <v>838</v>
      </c>
      <c r="F33" s="709" t="s">
        <v>839</v>
      </c>
      <c r="G33" s="709" t="s">
        <v>753</v>
      </c>
      <c r="H33" s="709">
        <v>5025</v>
      </c>
      <c r="I33" s="709" t="s">
        <v>840</v>
      </c>
      <c r="J33" s="709">
        <v>63300080</v>
      </c>
      <c r="K33" s="709" t="s">
        <v>755</v>
      </c>
      <c r="L33" s="712">
        <v>124218.71199330948</v>
      </c>
      <c r="M33" s="712">
        <v>131262.34222467366</v>
      </c>
      <c r="N33" s="712">
        <v>135200.2124914139</v>
      </c>
      <c r="O33" s="712">
        <v>139256.2188661563</v>
      </c>
      <c r="P33" s="712">
        <v>140735.86028696556</v>
      </c>
    </row>
    <row r="34" spans="1:16">
      <c r="A34" s="709" t="s">
        <v>398</v>
      </c>
      <c r="B34" s="709" t="s">
        <v>667</v>
      </c>
      <c r="C34" s="709" t="s">
        <v>841</v>
      </c>
      <c r="D34" s="709" t="s">
        <v>842</v>
      </c>
      <c r="E34" s="709" t="s">
        <v>843</v>
      </c>
      <c r="F34" s="709" t="s">
        <v>844</v>
      </c>
      <c r="G34" s="709" t="s">
        <v>753</v>
      </c>
      <c r="H34" s="709">
        <v>5025</v>
      </c>
      <c r="I34" s="709" t="s">
        <v>840</v>
      </c>
      <c r="J34" s="709">
        <v>63300080</v>
      </c>
      <c r="K34" s="709" t="s">
        <v>755</v>
      </c>
      <c r="L34" s="712">
        <v>3141.5666548779755</v>
      </c>
      <c r="M34" s="712">
        <v>3319.7043404895921</v>
      </c>
      <c r="N34" s="712">
        <v>3419.29547070428</v>
      </c>
      <c r="O34" s="712">
        <v>3521.8743348254093</v>
      </c>
      <c r="P34" s="712">
        <v>3559.2953648312673</v>
      </c>
    </row>
    <row r="35" spans="1:16">
      <c r="A35" s="709" t="s">
        <v>398</v>
      </c>
      <c r="B35" s="709" t="s">
        <v>667</v>
      </c>
      <c r="C35" s="709" t="s">
        <v>845</v>
      </c>
      <c r="D35" s="709" t="s">
        <v>846</v>
      </c>
      <c r="E35" s="709" t="s">
        <v>847</v>
      </c>
      <c r="F35" s="709" t="s">
        <v>848</v>
      </c>
      <c r="G35" s="709" t="s">
        <v>753</v>
      </c>
      <c r="H35" s="709">
        <v>5025</v>
      </c>
      <c r="I35" s="709" t="s">
        <v>840</v>
      </c>
      <c r="J35" s="709">
        <v>63300080</v>
      </c>
      <c r="K35" s="709" t="s">
        <v>755</v>
      </c>
      <c r="L35" s="712">
        <v>3084.514749454785</v>
      </c>
      <c r="M35" s="712">
        <v>3259.4173948752159</v>
      </c>
      <c r="N35" s="712">
        <v>3357.1999167214722</v>
      </c>
      <c r="O35" s="712">
        <v>3457.9159142231165</v>
      </c>
      <c r="P35" s="712">
        <v>3494.6573657576992</v>
      </c>
    </row>
    <row r="36" spans="1:16">
      <c r="A36" s="709" t="s">
        <v>398</v>
      </c>
      <c r="B36" s="709" t="s">
        <v>667</v>
      </c>
      <c r="C36" s="709" t="s">
        <v>849</v>
      </c>
      <c r="D36" s="709" t="s">
        <v>850</v>
      </c>
      <c r="E36" s="709" t="s">
        <v>851</v>
      </c>
      <c r="F36" s="709" t="s">
        <v>852</v>
      </c>
      <c r="G36" s="709" t="s">
        <v>753</v>
      </c>
      <c r="H36" s="709">
        <v>5025</v>
      </c>
      <c r="I36" s="709" t="s">
        <v>840</v>
      </c>
      <c r="J36" s="709">
        <v>63300080</v>
      </c>
      <c r="K36" s="709" t="s">
        <v>755</v>
      </c>
      <c r="L36" s="712">
        <v>56638.940598411507</v>
      </c>
      <c r="M36" s="712">
        <v>59850.564256954174</v>
      </c>
      <c r="N36" s="712">
        <v>61646.081184662798</v>
      </c>
      <c r="O36" s="712">
        <v>63495.463620202681</v>
      </c>
      <c r="P36" s="712">
        <v>64170.123026948742</v>
      </c>
    </row>
    <row r="37" spans="1:16">
      <c r="A37" s="709" t="s">
        <v>398</v>
      </c>
      <c r="B37" s="709" t="s">
        <v>667</v>
      </c>
      <c r="C37" s="709" t="s">
        <v>853</v>
      </c>
      <c r="D37" s="709" t="s">
        <v>854</v>
      </c>
      <c r="E37" s="709" t="s">
        <v>855</v>
      </c>
      <c r="F37" s="709" t="s">
        <v>856</v>
      </c>
      <c r="G37" s="709" t="s">
        <v>753</v>
      </c>
      <c r="H37" s="709">
        <v>5025</v>
      </c>
      <c r="I37" s="709" t="s">
        <v>840</v>
      </c>
      <c r="J37" s="709">
        <v>63300080</v>
      </c>
      <c r="K37" s="709" t="s">
        <v>755</v>
      </c>
      <c r="L37" s="712">
        <v>3628.8615379041221</v>
      </c>
      <c r="M37" s="712">
        <v>3834.6305273233079</v>
      </c>
      <c r="N37" s="712">
        <v>3949.6694431430069</v>
      </c>
      <c r="O37" s="712">
        <v>4068.1595264372972</v>
      </c>
      <c r="P37" s="712">
        <v>4111.3850095847456</v>
      </c>
    </row>
    <row r="38" spans="1:16">
      <c r="A38" s="709" t="s">
        <v>398</v>
      </c>
      <c r="B38" s="709" t="s">
        <v>667</v>
      </c>
      <c r="C38" s="709" t="s">
        <v>857</v>
      </c>
      <c r="D38" s="709" t="s">
        <v>858</v>
      </c>
      <c r="E38" s="709" t="s">
        <v>859</v>
      </c>
      <c r="F38" s="709" t="s">
        <v>860</v>
      </c>
      <c r="G38" s="709" t="s">
        <v>753</v>
      </c>
      <c r="H38" s="709">
        <v>5025</v>
      </c>
      <c r="I38" s="709" t="s">
        <v>840</v>
      </c>
      <c r="J38" s="709">
        <v>63300080</v>
      </c>
      <c r="K38" s="709" t="s">
        <v>755</v>
      </c>
      <c r="L38" s="712">
        <v>37094.76716227096</v>
      </c>
      <c r="M38" s="712">
        <v>39198.168648382489</v>
      </c>
      <c r="N38" s="712">
        <v>40374.11370783396</v>
      </c>
      <c r="O38" s="712">
        <v>41585.337119068987</v>
      </c>
      <c r="P38" s="712">
        <v>42027.194493918665</v>
      </c>
    </row>
    <row r="39" spans="1:16">
      <c r="A39" s="709" t="s">
        <v>398</v>
      </c>
      <c r="B39" s="709" t="s">
        <v>667</v>
      </c>
      <c r="C39" s="709" t="s">
        <v>861</v>
      </c>
      <c r="D39" s="709" t="s">
        <v>862</v>
      </c>
      <c r="E39" s="709" t="s">
        <v>863</v>
      </c>
      <c r="F39" s="709" t="s">
        <v>864</v>
      </c>
      <c r="G39" s="709" t="s">
        <v>753</v>
      </c>
      <c r="H39" s="709">
        <v>5025</v>
      </c>
      <c r="I39" s="709" t="s">
        <v>840</v>
      </c>
      <c r="J39" s="709">
        <v>63300080</v>
      </c>
      <c r="K39" s="709" t="s">
        <v>755</v>
      </c>
      <c r="L39" s="712">
        <v>402387.49845283455</v>
      </c>
      <c r="M39" s="712">
        <v>425204.26014150871</v>
      </c>
      <c r="N39" s="712">
        <v>437960.38794575399</v>
      </c>
      <c r="O39" s="712">
        <v>451099.19958412665</v>
      </c>
      <c r="P39" s="712">
        <v>455892.27141986351</v>
      </c>
    </row>
    <row r="40" spans="1:16">
      <c r="A40" s="709" t="s">
        <v>398</v>
      </c>
      <c r="B40" s="709" t="s">
        <v>667</v>
      </c>
      <c r="C40" s="709" t="s">
        <v>865</v>
      </c>
      <c r="D40" s="709" t="s">
        <v>866</v>
      </c>
      <c r="E40" s="709" t="s">
        <v>867</v>
      </c>
      <c r="F40" s="709" t="s">
        <v>868</v>
      </c>
      <c r="G40" s="709" t="s">
        <v>753</v>
      </c>
      <c r="H40" s="709">
        <v>5025</v>
      </c>
      <c r="I40" s="709" t="s">
        <v>840</v>
      </c>
      <c r="J40" s="709">
        <v>63300080</v>
      </c>
      <c r="K40" s="709" t="s">
        <v>755</v>
      </c>
      <c r="L40" s="712">
        <v>3205.0810429453354</v>
      </c>
      <c r="M40" s="712">
        <v>3386.820213846398</v>
      </c>
      <c r="N40" s="712">
        <v>3488.42482026179</v>
      </c>
      <c r="O40" s="712">
        <v>3593.0775648696444</v>
      </c>
      <c r="P40" s="712">
        <v>3631.2551517411612</v>
      </c>
    </row>
    <row r="41" spans="1:16">
      <c r="A41" s="709" t="s">
        <v>398</v>
      </c>
      <c r="B41" s="709" t="s">
        <v>667</v>
      </c>
      <c r="C41" s="709" t="s">
        <v>869</v>
      </c>
      <c r="D41" s="709" t="s">
        <v>870</v>
      </c>
      <c r="E41" s="709" t="s">
        <v>871</v>
      </c>
      <c r="F41" s="709" t="s">
        <v>872</v>
      </c>
      <c r="G41" s="709" t="s">
        <v>753</v>
      </c>
      <c r="H41" s="709">
        <v>5025</v>
      </c>
      <c r="I41" s="709" t="s">
        <v>840</v>
      </c>
      <c r="J41" s="709">
        <v>63300080</v>
      </c>
      <c r="K41" s="709" t="s">
        <v>755</v>
      </c>
      <c r="L41" s="712">
        <v>1605.7690994590707</v>
      </c>
      <c r="M41" s="712">
        <v>1696.8217564383954</v>
      </c>
      <c r="N41" s="712">
        <v>1747.7264091315474</v>
      </c>
      <c r="O41" s="712">
        <v>1800.1582014054939</v>
      </c>
      <c r="P41" s="712">
        <v>1819.2854523139015</v>
      </c>
    </row>
    <row r="42" spans="1:16">
      <c r="A42" s="709" t="s">
        <v>397</v>
      </c>
      <c r="B42" s="709" t="s">
        <v>873</v>
      </c>
      <c r="C42" s="709" t="s">
        <v>874</v>
      </c>
      <c r="D42" s="709" t="s">
        <v>875</v>
      </c>
      <c r="E42" s="709" t="s">
        <v>876</v>
      </c>
      <c r="F42" s="709" t="s">
        <v>877</v>
      </c>
      <c r="G42" s="709" t="s">
        <v>753</v>
      </c>
      <c r="H42" s="709">
        <v>5024</v>
      </c>
      <c r="I42" s="709" t="s">
        <v>878</v>
      </c>
      <c r="J42" s="709">
        <v>63300080</v>
      </c>
      <c r="K42" s="709" t="s">
        <v>755</v>
      </c>
      <c r="L42" s="712">
        <v>73826.430878545041</v>
      </c>
      <c r="M42" s="712">
        <v>78012.644630607174</v>
      </c>
      <c r="N42" s="712">
        <v>80353.023969525399</v>
      </c>
      <c r="O42" s="712">
        <v>82763.614688611167</v>
      </c>
      <c r="P42" s="712">
        <v>83643.00430170176</v>
      </c>
    </row>
    <row r="43" spans="1:16">
      <c r="A43" s="709" t="s">
        <v>399</v>
      </c>
      <c r="B43" s="709" t="s">
        <v>668</v>
      </c>
      <c r="C43" s="709" t="s">
        <v>879</v>
      </c>
      <c r="D43" s="709" t="s">
        <v>880</v>
      </c>
      <c r="E43" s="709" t="s">
        <v>881</v>
      </c>
      <c r="F43" s="709" t="s">
        <v>882</v>
      </c>
      <c r="G43" s="709" t="s">
        <v>753</v>
      </c>
      <c r="H43" s="709">
        <v>5021</v>
      </c>
      <c r="I43" s="709" t="s">
        <v>883</v>
      </c>
      <c r="J43" s="709">
        <v>63300080</v>
      </c>
      <c r="K43" s="709" t="s">
        <v>755</v>
      </c>
      <c r="L43" s="712">
        <v>14557.076266155333</v>
      </c>
      <c r="M43" s="712">
        <v>15382.512795187193</v>
      </c>
      <c r="N43" s="712">
        <v>15843.98817904281</v>
      </c>
      <c r="O43" s="712">
        <v>16319.307824414094</v>
      </c>
      <c r="P43" s="712">
        <v>16492.705637542629</v>
      </c>
    </row>
    <row r="44" spans="1:16">
      <c r="A44" s="709" t="s">
        <v>399</v>
      </c>
      <c r="B44" s="709" t="s">
        <v>668</v>
      </c>
      <c r="C44" s="709" t="s">
        <v>884</v>
      </c>
      <c r="D44" s="709" t="s">
        <v>885</v>
      </c>
      <c r="E44" s="709" t="s">
        <v>886</v>
      </c>
      <c r="F44" s="709" t="s">
        <v>887</v>
      </c>
      <c r="G44" s="709" t="s">
        <v>753</v>
      </c>
      <c r="H44" s="709">
        <v>5021</v>
      </c>
      <c r="I44" s="709" t="s">
        <v>883</v>
      </c>
      <c r="J44" s="709">
        <v>63300080</v>
      </c>
      <c r="K44" s="709" t="s">
        <v>755</v>
      </c>
      <c r="L44" s="712">
        <v>48866.662656029686</v>
      </c>
      <c r="M44" s="712">
        <v>51637.571296657232</v>
      </c>
      <c r="N44" s="712">
        <v>53186.698435556951</v>
      </c>
      <c r="O44" s="712">
        <v>54782.299388623665</v>
      </c>
      <c r="P44" s="712">
        <v>55364.378666393583</v>
      </c>
    </row>
    <row r="45" spans="1:16">
      <c r="A45" s="709" t="s">
        <v>399</v>
      </c>
      <c r="B45" s="709" t="s">
        <v>668</v>
      </c>
      <c r="C45" s="709" t="s">
        <v>888</v>
      </c>
      <c r="D45" s="709" t="s">
        <v>889</v>
      </c>
      <c r="E45" s="709" t="s">
        <v>890</v>
      </c>
      <c r="F45" s="709" t="s">
        <v>891</v>
      </c>
      <c r="G45" s="709" t="s">
        <v>753</v>
      </c>
      <c r="H45" s="709">
        <v>5021</v>
      </c>
      <c r="I45" s="709" t="s">
        <v>883</v>
      </c>
      <c r="J45" s="709">
        <v>63300080</v>
      </c>
      <c r="K45" s="709" t="s">
        <v>755</v>
      </c>
      <c r="L45" s="712">
        <v>30933.784544059661</v>
      </c>
      <c r="M45" s="712">
        <v>32687.837025273442</v>
      </c>
      <c r="N45" s="712">
        <v>33668.472136031647</v>
      </c>
      <c r="O45" s="712">
        <v>34678.526300112593</v>
      </c>
      <c r="P45" s="712">
        <v>35046.996622975428</v>
      </c>
    </row>
    <row r="46" spans="1:16">
      <c r="A46" s="709" t="s">
        <v>399</v>
      </c>
      <c r="B46" s="709" t="s">
        <v>668</v>
      </c>
      <c r="C46" s="709" t="s">
        <v>892</v>
      </c>
      <c r="D46" s="709" t="s">
        <v>893</v>
      </c>
      <c r="E46" s="709" t="s">
        <v>894</v>
      </c>
      <c r="F46" s="709" t="s">
        <v>895</v>
      </c>
      <c r="G46" s="709" t="s">
        <v>753</v>
      </c>
      <c r="H46" s="709">
        <v>5021</v>
      </c>
      <c r="I46" s="709" t="s">
        <v>883</v>
      </c>
      <c r="J46" s="709">
        <v>63300080</v>
      </c>
      <c r="K46" s="709" t="s">
        <v>755</v>
      </c>
      <c r="L46" s="712">
        <v>458816.41683020547</v>
      </c>
      <c r="M46" s="712">
        <v>484832.89319171762</v>
      </c>
      <c r="N46" s="712">
        <v>499377.87998746918</v>
      </c>
      <c r="O46" s="712">
        <v>514359.2163870933</v>
      </c>
      <c r="P46" s="712">
        <v>519824.44593258906</v>
      </c>
    </row>
    <row r="47" spans="1:16">
      <c r="A47" s="709" t="s">
        <v>399</v>
      </c>
      <c r="B47" s="709" t="s">
        <v>668</v>
      </c>
      <c r="C47" s="709" t="s">
        <v>896</v>
      </c>
      <c r="D47" s="709" t="s">
        <v>897</v>
      </c>
      <c r="E47" s="709" t="s">
        <v>898</v>
      </c>
      <c r="F47" s="709" t="s">
        <v>899</v>
      </c>
      <c r="G47" s="709" t="s">
        <v>753</v>
      </c>
      <c r="H47" s="709">
        <v>5021</v>
      </c>
      <c r="I47" s="709" t="s">
        <v>883</v>
      </c>
      <c r="J47" s="709">
        <v>63300080</v>
      </c>
      <c r="K47" s="709" t="s">
        <v>755</v>
      </c>
      <c r="L47" s="712">
        <v>194696.77817154484</v>
      </c>
      <c r="M47" s="712">
        <v>205736.75830555364</v>
      </c>
      <c r="N47" s="712">
        <v>211908.86105472024</v>
      </c>
      <c r="O47" s="712">
        <v>218266.12688636186</v>
      </c>
      <c r="P47" s="712">
        <v>220585.27359830207</v>
      </c>
    </row>
    <row r="48" spans="1:16">
      <c r="A48" s="709" t="s">
        <v>399</v>
      </c>
      <c r="B48" s="709" t="s">
        <v>668</v>
      </c>
      <c r="C48" s="709" t="s">
        <v>900</v>
      </c>
      <c r="D48" s="709" t="s">
        <v>901</v>
      </c>
      <c r="E48" s="709" t="s">
        <v>902</v>
      </c>
      <c r="F48" s="709" t="s">
        <v>903</v>
      </c>
      <c r="G48" s="709" t="s">
        <v>753</v>
      </c>
      <c r="H48" s="709">
        <v>5021</v>
      </c>
      <c r="I48" s="709" t="s">
        <v>883</v>
      </c>
      <c r="J48" s="709">
        <v>63300080</v>
      </c>
      <c r="K48" s="709" t="s">
        <v>755</v>
      </c>
      <c r="L48" s="712">
        <v>3592.6226128218673</v>
      </c>
      <c r="M48" s="712">
        <v>3796.3367299584029</v>
      </c>
      <c r="N48" s="712">
        <v>3910.2268318571555</v>
      </c>
      <c r="O48" s="712">
        <v>4027.5336368128696</v>
      </c>
      <c r="P48" s="712">
        <v>4070.3274570189074</v>
      </c>
    </row>
    <row r="49" spans="1:16">
      <c r="A49" s="709" t="s">
        <v>407</v>
      </c>
      <c r="B49" s="709" t="s">
        <v>669</v>
      </c>
      <c r="C49" s="709" t="s">
        <v>904</v>
      </c>
      <c r="D49" s="709" t="s">
        <v>905</v>
      </c>
      <c r="E49" s="709" t="s">
        <v>906</v>
      </c>
      <c r="F49" s="709" t="s">
        <v>907</v>
      </c>
      <c r="G49" s="709" t="s">
        <v>753</v>
      </c>
      <c r="H49" s="709">
        <v>5020</v>
      </c>
      <c r="I49" s="709" t="s">
        <v>908</v>
      </c>
      <c r="J49" s="709">
        <v>63300080</v>
      </c>
      <c r="K49" s="709" t="s">
        <v>755</v>
      </c>
      <c r="L49" s="712">
        <v>124323.65504184207</v>
      </c>
      <c r="M49" s="712">
        <v>131373.23590670867</v>
      </c>
      <c r="N49" s="712">
        <v>135314.43298390994</v>
      </c>
      <c r="O49" s="712">
        <v>139373.86597342725</v>
      </c>
      <c r="P49" s="712">
        <v>140854.75743200412</v>
      </c>
    </row>
    <row r="50" spans="1:16">
      <c r="A50" s="709" t="s">
        <v>405</v>
      </c>
      <c r="B50" s="709" t="s">
        <v>669</v>
      </c>
      <c r="C50" s="709" t="s">
        <v>909</v>
      </c>
      <c r="D50" s="709" t="s">
        <v>910</v>
      </c>
      <c r="E50" s="709" t="s">
        <v>911</v>
      </c>
      <c r="F50" s="709" t="s">
        <v>912</v>
      </c>
      <c r="G50" s="709" t="s">
        <v>753</v>
      </c>
      <c r="H50" s="709">
        <v>5020</v>
      </c>
      <c r="I50" s="709" t="s">
        <v>908</v>
      </c>
      <c r="J50" s="709">
        <v>63300080</v>
      </c>
      <c r="K50" s="709" t="s">
        <v>755</v>
      </c>
      <c r="L50" s="712">
        <v>26455.390045976401</v>
      </c>
      <c r="M50" s="712">
        <v>27955.5020832064</v>
      </c>
      <c r="N50" s="712">
        <v>28794.167145702595</v>
      </c>
      <c r="O50" s="712">
        <v>29657.992160073671</v>
      </c>
      <c r="P50" s="712">
        <v>29973.117717950976</v>
      </c>
    </row>
    <row r="51" spans="1:16">
      <c r="A51" s="709" t="s">
        <v>397</v>
      </c>
      <c r="B51" s="709" t="s">
        <v>669</v>
      </c>
      <c r="C51" s="709" t="s">
        <v>913</v>
      </c>
      <c r="D51" s="709" t="s">
        <v>914</v>
      </c>
      <c r="E51" s="709" t="s">
        <v>915</v>
      </c>
      <c r="F51" s="709" t="s">
        <v>916</v>
      </c>
      <c r="G51" s="709" t="s">
        <v>753</v>
      </c>
      <c r="H51" s="709">
        <v>5020</v>
      </c>
      <c r="I51" s="709" t="s">
        <v>908</v>
      </c>
      <c r="J51" s="709">
        <v>63300080</v>
      </c>
      <c r="K51" s="709" t="s">
        <v>755</v>
      </c>
      <c r="L51" s="712">
        <v>90673.855493378389</v>
      </c>
      <c r="M51" s="712">
        <v>95815.376440575987</v>
      </c>
      <c r="N51" s="712">
        <v>98689.837733793276</v>
      </c>
      <c r="O51" s="712">
        <v>101650.53286580708</v>
      </c>
      <c r="P51" s="712">
        <v>102730.60196505602</v>
      </c>
    </row>
    <row r="52" spans="1:16">
      <c r="A52" s="709" t="s">
        <v>287</v>
      </c>
      <c r="B52" s="709" t="s">
        <v>670</v>
      </c>
      <c r="C52" s="709" t="s">
        <v>917</v>
      </c>
      <c r="D52" s="709" t="s">
        <v>918</v>
      </c>
      <c r="E52" s="709" t="s">
        <v>919</v>
      </c>
      <c r="F52" s="709" t="s">
        <v>920</v>
      </c>
      <c r="G52" s="709" t="s">
        <v>753</v>
      </c>
      <c r="H52" s="709">
        <v>5019</v>
      </c>
      <c r="I52" s="709" t="s">
        <v>921</v>
      </c>
      <c r="J52" s="709">
        <v>63300080</v>
      </c>
      <c r="K52" s="709" t="s">
        <v>755</v>
      </c>
      <c r="L52" s="712">
        <v>11362.466139248007</v>
      </c>
      <c r="M52" s="712">
        <v>12006.757234502396</v>
      </c>
      <c r="N52" s="712">
        <v>12366.959951537468</v>
      </c>
      <c r="O52" s="712">
        <v>12737.968750083595</v>
      </c>
      <c r="P52" s="712">
        <v>12873.313701519573</v>
      </c>
    </row>
    <row r="53" spans="1:16">
      <c r="A53" s="709" t="s">
        <v>287</v>
      </c>
      <c r="B53" s="709" t="s">
        <v>670</v>
      </c>
      <c r="C53" s="709" t="s">
        <v>922</v>
      </c>
      <c r="D53" s="709" t="s">
        <v>923</v>
      </c>
      <c r="E53" s="709" t="s">
        <v>924</v>
      </c>
      <c r="F53" s="709" t="s">
        <v>925</v>
      </c>
      <c r="G53" s="709" t="s">
        <v>753</v>
      </c>
      <c r="H53" s="709">
        <v>5019</v>
      </c>
      <c r="I53" s="709" t="s">
        <v>921</v>
      </c>
      <c r="J53" s="709">
        <v>63300080</v>
      </c>
      <c r="K53" s="709" t="s">
        <v>755</v>
      </c>
      <c r="L53" s="712">
        <v>13652.459055996667</v>
      </c>
      <c r="M53" s="712">
        <v>14426.600663136009</v>
      </c>
      <c r="N53" s="712">
        <v>14859.398683030089</v>
      </c>
      <c r="O53" s="712">
        <v>15305.180643520995</v>
      </c>
      <c r="P53" s="712">
        <v>15467.803034230081</v>
      </c>
    </row>
    <row r="54" spans="1:16">
      <c r="A54" s="709" t="s">
        <v>287</v>
      </c>
      <c r="B54" s="709" t="s">
        <v>670</v>
      </c>
      <c r="C54" s="709" t="s">
        <v>926</v>
      </c>
      <c r="D54" s="709" t="s">
        <v>927</v>
      </c>
      <c r="E54" s="709" t="s">
        <v>928</v>
      </c>
      <c r="F54" s="709" t="s">
        <v>929</v>
      </c>
      <c r="G54" s="709" t="s">
        <v>753</v>
      </c>
      <c r="H54" s="709">
        <v>5019</v>
      </c>
      <c r="I54" s="709" t="s">
        <v>921</v>
      </c>
      <c r="J54" s="709">
        <v>63300080</v>
      </c>
      <c r="K54" s="709" t="s">
        <v>755</v>
      </c>
      <c r="L54" s="712">
        <v>16547.870356404073</v>
      </c>
      <c r="M54" s="712">
        <v>17486.191789919987</v>
      </c>
      <c r="N54" s="712">
        <v>18010.777543617587</v>
      </c>
      <c r="O54" s="712">
        <v>18551.100869926115</v>
      </c>
      <c r="P54" s="712">
        <v>18748.212190858474</v>
      </c>
    </row>
    <row r="55" spans="1:16">
      <c r="A55" s="709" t="s">
        <v>287</v>
      </c>
      <c r="B55" s="709" t="s">
        <v>670</v>
      </c>
      <c r="C55" s="709" t="s">
        <v>930</v>
      </c>
      <c r="D55" s="709" t="s">
        <v>931</v>
      </c>
      <c r="E55" s="709" t="s">
        <v>932</v>
      </c>
      <c r="F55" s="709" t="s">
        <v>933</v>
      </c>
      <c r="G55" s="709" t="s">
        <v>753</v>
      </c>
      <c r="H55" s="709">
        <v>5019</v>
      </c>
      <c r="I55" s="709" t="s">
        <v>921</v>
      </c>
      <c r="J55" s="709">
        <v>63300080</v>
      </c>
      <c r="K55" s="709" t="s">
        <v>755</v>
      </c>
      <c r="L55" s="712">
        <v>28088.821485403594</v>
      </c>
      <c r="M55" s="712">
        <v>29681.55472988158</v>
      </c>
      <c r="N55" s="712">
        <v>30572.001371778024</v>
      </c>
      <c r="O55" s="712">
        <v>31489.161412931368</v>
      </c>
      <c r="P55" s="712">
        <v>31823.743723958381</v>
      </c>
    </row>
    <row r="56" spans="1:16">
      <c r="A56" s="709" t="s">
        <v>287</v>
      </c>
      <c r="B56" s="709" t="s">
        <v>670</v>
      </c>
      <c r="C56" s="709" t="s">
        <v>934</v>
      </c>
      <c r="D56" s="709" t="s">
        <v>935</v>
      </c>
      <c r="E56" s="709" t="s">
        <v>936</v>
      </c>
      <c r="F56" s="709" t="s">
        <v>937</v>
      </c>
      <c r="G56" s="709" t="s">
        <v>753</v>
      </c>
      <c r="H56" s="709">
        <v>5019</v>
      </c>
      <c r="I56" s="709" t="s">
        <v>921</v>
      </c>
      <c r="J56" s="709">
        <v>63300080</v>
      </c>
      <c r="K56" s="709" t="s">
        <v>755</v>
      </c>
      <c r="L56" s="712">
        <v>408910.03255135502</v>
      </c>
      <c r="M56" s="712">
        <v>432096.6444632702</v>
      </c>
      <c r="N56" s="712">
        <v>445059.54379716836</v>
      </c>
      <c r="O56" s="712">
        <v>458411.3301110834</v>
      </c>
      <c r="P56" s="712">
        <v>463282.09564904874</v>
      </c>
    </row>
    <row r="57" spans="1:16">
      <c r="A57" s="709" t="s">
        <v>287</v>
      </c>
      <c r="B57" s="709" t="s">
        <v>670</v>
      </c>
      <c r="C57" s="709" t="s">
        <v>938</v>
      </c>
      <c r="D57" s="709" t="s">
        <v>939</v>
      </c>
      <c r="E57" s="709" t="s">
        <v>940</v>
      </c>
      <c r="F57" s="709" t="s">
        <v>941</v>
      </c>
      <c r="G57" s="709" t="s">
        <v>753</v>
      </c>
      <c r="H57" s="709">
        <v>5019</v>
      </c>
      <c r="I57" s="709" t="s">
        <v>921</v>
      </c>
      <c r="J57" s="709">
        <v>63300080</v>
      </c>
      <c r="K57" s="709" t="s">
        <v>755</v>
      </c>
      <c r="L57" s="712">
        <v>12330.524700037118</v>
      </c>
      <c r="M57" s="712">
        <v>13029.708060998404</v>
      </c>
      <c r="N57" s="712">
        <v>13420.599302828356</v>
      </c>
      <c r="O57" s="712">
        <v>13823.217281913207</v>
      </c>
      <c r="P57" s="712">
        <v>13970.093342642846</v>
      </c>
    </row>
    <row r="58" spans="1:16">
      <c r="A58" s="709" t="s">
        <v>287</v>
      </c>
      <c r="B58" s="709" t="s">
        <v>670</v>
      </c>
      <c r="C58" s="709" t="s">
        <v>942</v>
      </c>
      <c r="D58" s="709" t="s">
        <v>943</v>
      </c>
      <c r="E58" s="709" t="s">
        <v>944</v>
      </c>
      <c r="F58" s="709" t="s">
        <v>945</v>
      </c>
      <c r="G58" s="709" t="s">
        <v>753</v>
      </c>
      <c r="H58" s="709">
        <v>5019</v>
      </c>
      <c r="I58" s="709" t="s">
        <v>921</v>
      </c>
      <c r="J58" s="709">
        <v>63300080</v>
      </c>
      <c r="K58" s="709" t="s">
        <v>755</v>
      </c>
      <c r="L58" s="712">
        <v>76259.477893860545</v>
      </c>
      <c r="M58" s="712">
        <v>80583.653819546962</v>
      </c>
      <c r="N58" s="712">
        <v>83001.16343413337</v>
      </c>
      <c r="O58" s="712">
        <v>85491.198337157373</v>
      </c>
      <c r="P58" s="712">
        <v>86399.569390200675</v>
      </c>
    </row>
    <row r="59" spans="1:16">
      <c r="A59" s="709" t="s">
        <v>287</v>
      </c>
      <c r="B59" s="709" t="s">
        <v>670</v>
      </c>
      <c r="C59" s="709" t="s">
        <v>946</v>
      </c>
      <c r="D59" s="709" t="s">
        <v>947</v>
      </c>
      <c r="E59" s="709" t="s">
        <v>948</v>
      </c>
      <c r="F59" s="709" t="s">
        <v>949</v>
      </c>
      <c r="G59" s="709" t="s">
        <v>753</v>
      </c>
      <c r="H59" s="709">
        <v>5019</v>
      </c>
      <c r="I59" s="709" t="s">
        <v>921</v>
      </c>
      <c r="J59" s="709">
        <v>63300080</v>
      </c>
      <c r="K59" s="709" t="s">
        <v>755</v>
      </c>
      <c r="L59" s="712">
        <v>787.99666320575386</v>
      </c>
      <c r="M59" s="712">
        <v>832.67879708159933</v>
      </c>
      <c r="N59" s="712">
        <v>857.65916099404728</v>
      </c>
      <c r="O59" s="712">
        <v>883.38893582386879</v>
      </c>
      <c r="P59" s="712">
        <v>892.77522299130885</v>
      </c>
    </row>
    <row r="60" spans="1:16">
      <c r="A60" s="709" t="s">
        <v>403</v>
      </c>
      <c r="B60" s="709" t="s">
        <v>671</v>
      </c>
      <c r="C60" s="709" t="s">
        <v>950</v>
      </c>
      <c r="D60" s="709" t="s">
        <v>951</v>
      </c>
      <c r="E60" s="709" t="s">
        <v>952</v>
      </c>
      <c r="F60" s="709" t="s">
        <v>953</v>
      </c>
      <c r="G60" s="709" t="s">
        <v>753</v>
      </c>
      <c r="H60" s="709">
        <v>5017</v>
      </c>
      <c r="I60" s="709" t="s">
        <v>954</v>
      </c>
      <c r="J60" s="709">
        <v>63300080</v>
      </c>
      <c r="K60" s="709" t="s">
        <v>755</v>
      </c>
      <c r="L60" s="712">
        <v>18207.981625799661</v>
      </c>
      <c r="M60" s="712">
        <v>19240.437105119985</v>
      </c>
      <c r="N60" s="712">
        <v>19817.650218273582</v>
      </c>
      <c r="O60" s="712">
        <v>20412.179724821795</v>
      </c>
      <c r="P60" s="712">
        <v>20629.065597896366</v>
      </c>
    </row>
    <row r="61" spans="1:16">
      <c r="A61" s="709" t="s">
        <v>403</v>
      </c>
      <c r="B61" s="709" t="s">
        <v>671</v>
      </c>
      <c r="C61" s="709" t="s">
        <v>955</v>
      </c>
      <c r="D61" s="709" t="s">
        <v>956</v>
      </c>
      <c r="E61" s="709" t="s">
        <v>957</v>
      </c>
      <c r="F61" s="709" t="s">
        <v>958</v>
      </c>
      <c r="G61" s="709" t="s">
        <v>753</v>
      </c>
      <c r="H61" s="709">
        <v>5017</v>
      </c>
      <c r="I61" s="709" t="s">
        <v>954</v>
      </c>
      <c r="J61" s="709">
        <v>63300080</v>
      </c>
      <c r="K61" s="709" t="s">
        <v>755</v>
      </c>
      <c r="L61" s="712">
        <v>291.55783257552059</v>
      </c>
      <c r="M61" s="712">
        <v>308.0901692159984</v>
      </c>
      <c r="N61" s="712">
        <v>317.33287429247838</v>
      </c>
      <c r="O61" s="712">
        <v>326.85286052125275</v>
      </c>
      <c r="P61" s="712">
        <v>330.32577566195516</v>
      </c>
    </row>
    <row r="62" spans="1:16">
      <c r="A62" s="709" t="s">
        <v>403</v>
      </c>
      <c r="B62" s="709" t="s">
        <v>671</v>
      </c>
      <c r="C62" s="709" t="s">
        <v>959</v>
      </c>
      <c r="D62" s="709" t="s">
        <v>960</v>
      </c>
      <c r="E62" s="709" t="s">
        <v>961</v>
      </c>
      <c r="F62" s="709" t="s">
        <v>962</v>
      </c>
      <c r="G62" s="709" t="s">
        <v>753</v>
      </c>
      <c r="H62" s="709">
        <v>5017</v>
      </c>
      <c r="I62" s="709" t="s">
        <v>954</v>
      </c>
      <c r="J62" s="709">
        <v>63300080</v>
      </c>
      <c r="K62" s="709" t="s">
        <v>755</v>
      </c>
      <c r="L62" s="712">
        <v>5465.6611097907871</v>
      </c>
      <c r="M62" s="712">
        <v>5775.5829823456033</v>
      </c>
      <c r="N62" s="712">
        <v>5948.8504718159711</v>
      </c>
      <c r="O62" s="712">
        <v>6127.315985970451</v>
      </c>
      <c r="P62" s="712">
        <v>6192.4206585304792</v>
      </c>
    </row>
    <row r="63" spans="1:16">
      <c r="A63" s="709" t="s">
        <v>403</v>
      </c>
      <c r="B63" s="709" t="s">
        <v>671</v>
      </c>
      <c r="C63" s="709" t="s">
        <v>963</v>
      </c>
      <c r="D63" s="709" t="s">
        <v>964</v>
      </c>
      <c r="E63" s="709" t="s">
        <v>965</v>
      </c>
      <c r="F63" s="709" t="s">
        <v>966</v>
      </c>
      <c r="G63" s="709" t="s">
        <v>753</v>
      </c>
      <c r="H63" s="709">
        <v>5017</v>
      </c>
      <c r="I63" s="709" t="s">
        <v>954</v>
      </c>
      <c r="J63" s="709">
        <v>63300080</v>
      </c>
      <c r="K63" s="709" t="s">
        <v>755</v>
      </c>
      <c r="L63" s="712">
        <v>18980.833943920261</v>
      </c>
      <c r="M63" s="712">
        <v>20057.112820415943</v>
      </c>
      <c r="N63" s="712">
        <v>20658.826205028421</v>
      </c>
      <c r="O63" s="712">
        <v>21278.590991179273</v>
      </c>
      <c r="P63" s="712">
        <v>21504.682758307237</v>
      </c>
    </row>
    <row r="64" spans="1:16">
      <c r="A64" s="709" t="s">
        <v>403</v>
      </c>
      <c r="B64" s="709" t="s">
        <v>671</v>
      </c>
      <c r="C64" s="709" t="s">
        <v>967</v>
      </c>
      <c r="D64" s="709" t="s">
        <v>968</v>
      </c>
      <c r="E64" s="709" t="s">
        <v>969</v>
      </c>
      <c r="F64" s="709" t="s">
        <v>970</v>
      </c>
      <c r="G64" s="709" t="s">
        <v>753</v>
      </c>
      <c r="H64" s="709">
        <v>5017</v>
      </c>
      <c r="I64" s="709" t="s">
        <v>954</v>
      </c>
      <c r="J64" s="709">
        <v>63300080</v>
      </c>
      <c r="K64" s="709" t="s">
        <v>755</v>
      </c>
      <c r="L64" s="712">
        <v>17372.438830881591</v>
      </c>
      <c r="M64" s="712">
        <v>18357.516146353297</v>
      </c>
      <c r="N64" s="712">
        <v>18908.241630743898</v>
      </c>
      <c r="O64" s="712">
        <v>19475.488879666213</v>
      </c>
      <c r="P64" s="712">
        <v>19682.422115908692</v>
      </c>
    </row>
    <row r="65" spans="1:16">
      <c r="A65" s="709" t="s">
        <v>403</v>
      </c>
      <c r="B65" s="709" t="s">
        <v>671</v>
      </c>
      <c r="C65" s="709" t="s">
        <v>971</v>
      </c>
      <c r="D65" s="709" t="s">
        <v>972</v>
      </c>
      <c r="E65" s="709" t="s">
        <v>973</v>
      </c>
      <c r="F65" s="709" t="s">
        <v>974</v>
      </c>
      <c r="G65" s="709" t="s">
        <v>753</v>
      </c>
      <c r="H65" s="709">
        <v>5017</v>
      </c>
      <c r="I65" s="709" t="s">
        <v>954</v>
      </c>
      <c r="J65" s="709">
        <v>63300080</v>
      </c>
      <c r="K65" s="709" t="s">
        <v>755</v>
      </c>
      <c r="L65" s="712">
        <v>463036.34510775132</v>
      </c>
      <c r="M65" s="712">
        <v>489292.10598536365</v>
      </c>
      <c r="N65" s="712">
        <v>503970.8691649246</v>
      </c>
      <c r="O65" s="712">
        <v>519089.99523987231</v>
      </c>
      <c r="P65" s="712">
        <v>524605.49080867576</v>
      </c>
    </row>
    <row r="66" spans="1:16">
      <c r="A66" s="709" t="s">
        <v>403</v>
      </c>
      <c r="B66" s="709" t="s">
        <v>671</v>
      </c>
      <c r="C66" s="709" t="s">
        <v>975</v>
      </c>
      <c r="D66" s="709" t="s">
        <v>976</v>
      </c>
      <c r="E66" s="709" t="s">
        <v>977</v>
      </c>
      <c r="F66" s="709" t="s">
        <v>978</v>
      </c>
      <c r="G66" s="709" t="s">
        <v>753</v>
      </c>
      <c r="H66" s="709">
        <v>5017</v>
      </c>
      <c r="I66" s="709" t="s">
        <v>954</v>
      </c>
      <c r="J66" s="709">
        <v>63300080</v>
      </c>
      <c r="K66" s="709" t="s">
        <v>755</v>
      </c>
      <c r="L66" s="712">
        <v>4959.227035634538</v>
      </c>
      <c r="M66" s="712">
        <v>5240.4323461055992</v>
      </c>
      <c r="N66" s="712">
        <v>5397.645316488768</v>
      </c>
      <c r="O66" s="712">
        <v>5559.5746759834301</v>
      </c>
      <c r="P66" s="712">
        <v>5618.6469173500709</v>
      </c>
    </row>
    <row r="67" spans="1:16">
      <c r="A67" s="709" t="s">
        <v>403</v>
      </c>
      <c r="B67" s="709" t="s">
        <v>671</v>
      </c>
      <c r="C67" s="709" t="s">
        <v>979</v>
      </c>
      <c r="D67" s="709" t="s">
        <v>980</v>
      </c>
      <c r="E67" s="709" t="s">
        <v>981</v>
      </c>
      <c r="F67" s="709" t="s">
        <v>982</v>
      </c>
      <c r="G67" s="709" t="s">
        <v>753</v>
      </c>
      <c r="H67" s="709">
        <v>5017</v>
      </c>
      <c r="I67" s="709" t="s">
        <v>954</v>
      </c>
      <c r="J67" s="709">
        <v>63300080</v>
      </c>
      <c r="K67" s="709" t="s">
        <v>755</v>
      </c>
      <c r="L67" s="712">
        <v>73781.469153011887</v>
      </c>
      <c r="M67" s="712">
        <v>77965.133419862512</v>
      </c>
      <c r="N67" s="712">
        <v>80304.087422458397</v>
      </c>
      <c r="O67" s="712">
        <v>82713.210045132146</v>
      </c>
      <c r="P67" s="712">
        <v>83592.064092925182</v>
      </c>
    </row>
    <row r="68" spans="1:16">
      <c r="A68" s="709" t="s">
        <v>403</v>
      </c>
      <c r="B68" s="709" t="s">
        <v>671</v>
      </c>
      <c r="C68" s="709" t="s">
        <v>983</v>
      </c>
      <c r="D68" s="709" t="s">
        <v>984</v>
      </c>
      <c r="E68" s="709" t="s">
        <v>985</v>
      </c>
      <c r="F68" s="709" t="s">
        <v>986</v>
      </c>
      <c r="G68" s="709" t="s">
        <v>753</v>
      </c>
      <c r="H68" s="709">
        <v>5017</v>
      </c>
      <c r="I68" s="709" t="s">
        <v>954</v>
      </c>
      <c r="J68" s="709">
        <v>63300080</v>
      </c>
      <c r="K68" s="709" t="s">
        <v>755</v>
      </c>
      <c r="L68" s="712">
        <v>876.6434827459118</v>
      </c>
      <c r="M68" s="712">
        <v>926.35219762559962</v>
      </c>
      <c r="N68" s="712">
        <v>954.14276355436766</v>
      </c>
      <c r="O68" s="712">
        <v>982.76704646099881</v>
      </c>
      <c r="P68" s="712">
        <v>993.20925752194762</v>
      </c>
    </row>
    <row r="69" spans="1:16">
      <c r="A69" s="709" t="s">
        <v>397</v>
      </c>
      <c r="B69" s="709" t="s">
        <v>673</v>
      </c>
      <c r="C69" s="709" t="s">
        <v>987</v>
      </c>
      <c r="D69" s="709" t="s">
        <v>988</v>
      </c>
      <c r="E69" s="709" t="s">
        <v>989</v>
      </c>
      <c r="F69" s="709" t="s">
        <v>990</v>
      </c>
      <c r="G69" s="709" t="s">
        <v>753</v>
      </c>
      <c r="H69" s="709">
        <v>5009</v>
      </c>
      <c r="I69" s="709" t="s">
        <v>991</v>
      </c>
      <c r="J69" s="709">
        <v>63300080</v>
      </c>
      <c r="K69" s="709" t="s">
        <v>755</v>
      </c>
      <c r="L69" s="712">
        <v>200573.1133071146</v>
      </c>
      <c r="M69" s="712">
        <v>211946.30195010194</v>
      </c>
      <c r="N69" s="712">
        <v>218304.69100860503</v>
      </c>
      <c r="O69" s="712">
        <v>224853.8317388632</v>
      </c>
      <c r="P69" s="712">
        <v>227242.97490085204</v>
      </c>
    </row>
    <row r="70" spans="1:16">
      <c r="A70" s="709" t="s">
        <v>404</v>
      </c>
      <c r="B70" s="709" t="s">
        <v>673</v>
      </c>
      <c r="C70" s="709" t="s">
        <v>992</v>
      </c>
      <c r="D70" s="709" t="s">
        <v>993</v>
      </c>
      <c r="E70" s="709" t="s">
        <v>994</v>
      </c>
      <c r="F70" s="709" t="s">
        <v>995</v>
      </c>
      <c r="G70" s="709" t="s">
        <v>753</v>
      </c>
      <c r="H70" s="709">
        <v>5009</v>
      </c>
      <c r="I70" s="709" t="s">
        <v>991</v>
      </c>
      <c r="J70" s="709">
        <v>63300080</v>
      </c>
      <c r="K70" s="709" t="s">
        <v>755</v>
      </c>
      <c r="L70" s="712">
        <v>5269.7108226078744</v>
      </c>
      <c r="M70" s="712">
        <v>5568.521636735999</v>
      </c>
      <c r="N70" s="712">
        <v>5735.5772858380788</v>
      </c>
      <c r="O70" s="712">
        <v>5907.6446044132217</v>
      </c>
      <c r="P70" s="712">
        <v>5970.415198985459</v>
      </c>
    </row>
    <row r="71" spans="1:16">
      <c r="A71" s="709" t="s">
        <v>542</v>
      </c>
      <c r="B71" s="709" t="s">
        <v>673</v>
      </c>
      <c r="C71" s="709" t="s">
        <v>996</v>
      </c>
      <c r="D71" s="709" t="s">
        <v>997</v>
      </c>
      <c r="E71" s="709" t="s">
        <v>998</v>
      </c>
      <c r="F71" s="709" t="s">
        <v>999</v>
      </c>
      <c r="G71" s="709" t="s">
        <v>753</v>
      </c>
      <c r="H71" s="709">
        <v>5009</v>
      </c>
      <c r="I71" s="709" t="s">
        <v>991</v>
      </c>
      <c r="J71" s="709">
        <v>63300080</v>
      </c>
      <c r="K71" s="709" t="s">
        <v>755</v>
      </c>
      <c r="L71" s="712">
        <v>19847.602443789041</v>
      </c>
      <c r="M71" s="712">
        <v>20973.030089510401</v>
      </c>
      <c r="N71" s="712">
        <v>21602.220992195715</v>
      </c>
      <c r="O71" s="712">
        <v>22250.287621961586</v>
      </c>
      <c r="P71" s="712">
        <v>22486.703973478478</v>
      </c>
    </row>
    <row r="72" spans="1:16">
      <c r="A72" s="709" t="s">
        <v>542</v>
      </c>
      <c r="B72" s="709" t="s">
        <v>673</v>
      </c>
      <c r="C72" s="709" t="s">
        <v>1000</v>
      </c>
      <c r="D72" s="709" t="s">
        <v>1001</v>
      </c>
      <c r="E72" s="709" t="s">
        <v>1002</v>
      </c>
      <c r="F72" s="709" t="s">
        <v>1003</v>
      </c>
      <c r="G72" s="709" t="s">
        <v>753</v>
      </c>
      <c r="H72" s="709">
        <v>5009</v>
      </c>
      <c r="I72" s="709" t="s">
        <v>991</v>
      </c>
      <c r="J72" s="709">
        <v>63300080</v>
      </c>
      <c r="K72" s="709" t="s">
        <v>755</v>
      </c>
      <c r="L72" s="712">
        <v>2757.9794958991383</v>
      </c>
      <c r="M72" s="712">
        <v>2914.366464038399</v>
      </c>
      <c r="N72" s="712">
        <v>3001.7974579595511</v>
      </c>
      <c r="O72" s="712">
        <v>3091.8513816983373</v>
      </c>
      <c r="P72" s="712">
        <v>3124.7032816608394</v>
      </c>
    </row>
    <row r="73" spans="1:16">
      <c r="A73" s="709" t="s">
        <v>542</v>
      </c>
      <c r="B73" s="709" t="s">
        <v>673</v>
      </c>
      <c r="C73" s="709" t="s">
        <v>1004</v>
      </c>
      <c r="D73" s="709" t="s">
        <v>1005</v>
      </c>
      <c r="E73" s="709" t="s">
        <v>1006</v>
      </c>
      <c r="F73" s="709" t="s">
        <v>1007</v>
      </c>
      <c r="G73" s="709" t="s">
        <v>753</v>
      </c>
      <c r="H73" s="709">
        <v>5009</v>
      </c>
      <c r="I73" s="709" t="s">
        <v>991</v>
      </c>
      <c r="J73" s="709">
        <v>63300080</v>
      </c>
      <c r="K73" s="709" t="s">
        <v>755</v>
      </c>
      <c r="L73" s="712">
        <v>9455.9297002256208</v>
      </c>
      <c r="M73" s="712">
        <v>9992.1135909887998</v>
      </c>
      <c r="N73" s="712">
        <v>10291.876998718466</v>
      </c>
      <c r="O73" s="712">
        <v>10600.63330868002</v>
      </c>
      <c r="P73" s="712">
        <v>10713.268394265742</v>
      </c>
    </row>
    <row r="74" spans="1:16">
      <c r="A74" s="709" t="s">
        <v>542</v>
      </c>
      <c r="B74" s="709" t="s">
        <v>673</v>
      </c>
      <c r="C74" s="709" t="s">
        <v>1008</v>
      </c>
      <c r="D74" s="709" t="s">
        <v>1009</v>
      </c>
      <c r="E74" s="709" t="s">
        <v>1010</v>
      </c>
      <c r="F74" s="709" t="s">
        <v>1011</v>
      </c>
      <c r="G74" s="709" t="s">
        <v>753</v>
      </c>
      <c r="H74" s="709">
        <v>5009</v>
      </c>
      <c r="I74" s="709" t="s">
        <v>991</v>
      </c>
      <c r="J74" s="709">
        <v>63300080</v>
      </c>
      <c r="K74" s="709" t="s">
        <v>755</v>
      </c>
      <c r="L74" s="712">
        <v>17483.620018732639</v>
      </c>
      <c r="M74" s="712">
        <v>18475.001691763206</v>
      </c>
      <c r="N74" s="712">
        <v>19029.251742516106</v>
      </c>
      <c r="O74" s="712">
        <v>19600.129294791586</v>
      </c>
      <c r="P74" s="712">
        <v>19808.386874912048</v>
      </c>
    </row>
    <row r="75" spans="1:16">
      <c r="A75" s="709" t="s">
        <v>542</v>
      </c>
      <c r="B75" s="709" t="s">
        <v>673</v>
      </c>
      <c r="C75" s="709" t="s">
        <v>1012</v>
      </c>
      <c r="D75" s="709" t="s">
        <v>1013</v>
      </c>
      <c r="E75" s="709" t="s">
        <v>1014</v>
      </c>
      <c r="F75" s="709" t="s">
        <v>1015</v>
      </c>
      <c r="G75" s="709" t="s">
        <v>753</v>
      </c>
      <c r="H75" s="709">
        <v>5009</v>
      </c>
      <c r="I75" s="709" t="s">
        <v>991</v>
      </c>
      <c r="J75" s="709">
        <v>63300080</v>
      </c>
      <c r="K75" s="709" t="s">
        <v>755</v>
      </c>
      <c r="L75" s="712">
        <v>112959.50242039635</v>
      </c>
      <c r="M75" s="712">
        <v>119364.69656063999</v>
      </c>
      <c r="N75" s="712">
        <v>122945.63745745919</v>
      </c>
      <c r="O75" s="712">
        <v>126634.00658118297</v>
      </c>
      <c r="P75" s="712">
        <v>127979.53299965225</v>
      </c>
    </row>
    <row r="76" spans="1:16">
      <c r="A76" s="709" t="s">
        <v>542</v>
      </c>
      <c r="B76" s="709" t="s">
        <v>673</v>
      </c>
      <c r="C76" s="709" t="s">
        <v>1016</v>
      </c>
      <c r="D76" s="709" t="s">
        <v>1017</v>
      </c>
      <c r="E76" s="709" t="s">
        <v>1018</v>
      </c>
      <c r="F76" s="709" t="s">
        <v>1019</v>
      </c>
      <c r="G76" s="709" t="s">
        <v>753</v>
      </c>
      <c r="H76" s="709">
        <v>5009</v>
      </c>
      <c r="I76" s="709" t="s">
        <v>991</v>
      </c>
      <c r="J76" s="709">
        <v>63300080</v>
      </c>
      <c r="K76" s="709" t="s">
        <v>755</v>
      </c>
      <c r="L76" s="712">
        <v>26368.017483018986</v>
      </c>
      <c r="M76" s="712">
        <v>27863.17519399682</v>
      </c>
      <c r="N76" s="712">
        <v>28699.070449816722</v>
      </c>
      <c r="O76" s="712">
        <v>29560.042563311225</v>
      </c>
      <c r="P76" s="712">
        <v>29874.127375707278</v>
      </c>
    </row>
    <row r="77" spans="1:16">
      <c r="A77" s="709" t="s">
        <v>400</v>
      </c>
      <c r="B77" s="709" t="s">
        <v>673</v>
      </c>
      <c r="C77" s="709" t="s">
        <v>1020</v>
      </c>
      <c r="D77" s="709" t="s">
        <v>1021</v>
      </c>
      <c r="E77" s="709" t="s">
        <v>1022</v>
      </c>
      <c r="F77" s="709" t="s">
        <v>1023</v>
      </c>
      <c r="G77" s="709" t="s">
        <v>753</v>
      </c>
      <c r="H77" s="709">
        <v>5009</v>
      </c>
      <c r="I77" s="709" t="s">
        <v>991</v>
      </c>
      <c r="J77" s="709">
        <v>63300080</v>
      </c>
      <c r="K77" s="709" t="s">
        <v>755</v>
      </c>
      <c r="L77" s="712">
        <v>685.93704906966911</v>
      </c>
      <c r="M77" s="712">
        <v>724.83205013762483</v>
      </c>
      <c r="N77" s="712">
        <v>746.57701164175364</v>
      </c>
      <c r="O77" s="712">
        <v>768.97432199100626</v>
      </c>
      <c r="P77" s="712">
        <v>777.14491765718765</v>
      </c>
    </row>
    <row r="78" spans="1:16">
      <c r="A78" s="709" t="s">
        <v>400</v>
      </c>
      <c r="B78" s="709" t="s">
        <v>673</v>
      </c>
      <c r="C78" s="709" t="s">
        <v>1024</v>
      </c>
      <c r="D78" s="709" t="s">
        <v>1025</v>
      </c>
      <c r="E78" s="709" t="s">
        <v>1026</v>
      </c>
      <c r="F78" s="709" t="s">
        <v>1027</v>
      </c>
      <c r="G78" s="709" t="s">
        <v>753</v>
      </c>
      <c r="H78" s="709">
        <v>5009</v>
      </c>
      <c r="I78" s="709" t="s">
        <v>991</v>
      </c>
      <c r="J78" s="709">
        <v>63300080</v>
      </c>
      <c r="K78" s="709" t="s">
        <v>755</v>
      </c>
      <c r="L78" s="712">
        <v>6232.9204884942437</v>
      </c>
      <c r="M78" s="712">
        <v>6586.3486192320006</v>
      </c>
      <c r="N78" s="712">
        <v>6783.939077808961</v>
      </c>
      <c r="O78" s="712">
        <v>6987.4572501432303</v>
      </c>
      <c r="P78" s="712">
        <v>7061.7011959980509</v>
      </c>
    </row>
    <row r="79" spans="1:16">
      <c r="A79" s="709" t="s">
        <v>400</v>
      </c>
      <c r="B79" s="709" t="s">
        <v>673</v>
      </c>
      <c r="C79" s="709" t="s">
        <v>1028</v>
      </c>
      <c r="D79" s="709" t="s">
        <v>1029</v>
      </c>
      <c r="E79" s="709" t="s">
        <v>1030</v>
      </c>
      <c r="F79" s="709" t="s">
        <v>1031</v>
      </c>
      <c r="G79" s="709" t="s">
        <v>753</v>
      </c>
      <c r="H79" s="709">
        <v>5009</v>
      </c>
      <c r="I79" s="709" t="s">
        <v>991</v>
      </c>
      <c r="J79" s="709">
        <v>63300080</v>
      </c>
      <c r="K79" s="709" t="s">
        <v>755</v>
      </c>
      <c r="L79" s="712">
        <v>18308.863999973706</v>
      </c>
      <c r="M79" s="712">
        <v>19347.039858527896</v>
      </c>
      <c r="N79" s="712">
        <v>19927.451054283734</v>
      </c>
      <c r="O79" s="712">
        <v>20525.274585912248</v>
      </c>
      <c r="P79" s="712">
        <v>20743.362127697288</v>
      </c>
    </row>
    <row r="80" spans="1:16">
      <c r="A80" s="709" t="s">
        <v>400</v>
      </c>
      <c r="B80" s="709" t="s">
        <v>673</v>
      </c>
      <c r="C80" s="709" t="s">
        <v>1032</v>
      </c>
      <c r="D80" s="709" t="s">
        <v>1033</v>
      </c>
      <c r="E80" s="709" t="s">
        <v>1034</v>
      </c>
      <c r="F80" s="709" t="s">
        <v>1035</v>
      </c>
      <c r="G80" s="709" t="s">
        <v>753</v>
      </c>
      <c r="H80" s="709">
        <v>5009</v>
      </c>
      <c r="I80" s="709" t="s">
        <v>991</v>
      </c>
      <c r="J80" s="709">
        <v>63300080</v>
      </c>
      <c r="K80" s="709" t="s">
        <v>755</v>
      </c>
      <c r="L80" s="712">
        <v>239697.23889437268</v>
      </c>
      <c r="M80" s="712">
        <v>253288.90065900167</v>
      </c>
      <c r="N80" s="712">
        <v>260887.56767877171</v>
      </c>
      <c r="O80" s="712">
        <v>268714.19470913487</v>
      </c>
      <c r="P80" s="712">
        <v>271569.36811602733</v>
      </c>
    </row>
    <row r="81" spans="1:16">
      <c r="A81" s="709" t="s">
        <v>396</v>
      </c>
      <c r="B81" s="709" t="s">
        <v>673</v>
      </c>
      <c r="C81" s="709" t="s">
        <v>1036</v>
      </c>
      <c r="D81" s="709" t="s">
        <v>1037</v>
      </c>
      <c r="E81" s="709" t="s">
        <v>1038</v>
      </c>
      <c r="F81" s="709" t="s">
        <v>1039</v>
      </c>
      <c r="G81" s="709" t="s">
        <v>753</v>
      </c>
      <c r="H81" s="709">
        <v>5009</v>
      </c>
      <c r="I81" s="709" t="s">
        <v>991</v>
      </c>
      <c r="J81" s="709">
        <v>63300080</v>
      </c>
      <c r="K81" s="709" t="s">
        <v>755</v>
      </c>
      <c r="L81" s="712">
        <v>1969.9850390236334</v>
      </c>
      <c r="M81" s="712">
        <v>2081.6899983935982</v>
      </c>
      <c r="N81" s="712">
        <v>2144.1406983454062</v>
      </c>
      <c r="O81" s="712">
        <v>2208.4649192957686</v>
      </c>
      <c r="P81" s="712">
        <v>2231.9305583717151</v>
      </c>
    </row>
    <row r="82" spans="1:16">
      <c r="A82" s="709" t="s">
        <v>541</v>
      </c>
      <c r="B82" s="709" t="s">
        <v>673</v>
      </c>
      <c r="C82" s="709" t="s">
        <v>1040</v>
      </c>
      <c r="D82" s="709" t="s">
        <v>1041</v>
      </c>
      <c r="E82" s="709" t="s">
        <v>1042</v>
      </c>
      <c r="F82" s="709" t="s">
        <v>1043</v>
      </c>
      <c r="G82" s="709" t="s">
        <v>753</v>
      </c>
      <c r="H82" s="709">
        <v>5009</v>
      </c>
      <c r="I82" s="709" t="s">
        <v>991</v>
      </c>
      <c r="J82" s="709">
        <v>63300080</v>
      </c>
      <c r="K82" s="709" t="s">
        <v>755</v>
      </c>
      <c r="L82" s="712">
        <v>18591.73551967453</v>
      </c>
      <c r="M82" s="712">
        <v>19645.951170912002</v>
      </c>
      <c r="N82" s="712">
        <v>20235.329706039363</v>
      </c>
      <c r="O82" s="712">
        <v>20842.389597220543</v>
      </c>
      <c r="P82" s="712">
        <v>21063.846586414918</v>
      </c>
    </row>
    <row r="83" spans="1:16">
      <c r="A83" s="709" t="s">
        <v>541</v>
      </c>
      <c r="B83" s="709" t="s">
        <v>673</v>
      </c>
      <c r="C83" s="709" t="s">
        <v>1044</v>
      </c>
      <c r="D83" s="709" t="s">
        <v>1045</v>
      </c>
      <c r="E83" s="709" t="s">
        <v>1046</v>
      </c>
      <c r="F83" s="709" t="s">
        <v>1047</v>
      </c>
      <c r="G83" s="709" t="s">
        <v>753</v>
      </c>
      <c r="H83" s="709">
        <v>5009</v>
      </c>
      <c r="I83" s="709" t="s">
        <v>991</v>
      </c>
      <c r="J83" s="709">
        <v>63300080</v>
      </c>
      <c r="K83" s="709" t="s">
        <v>755</v>
      </c>
      <c r="L83" s="712">
        <v>3742.9709122458344</v>
      </c>
      <c r="M83" s="712">
        <v>3955.2102975168032</v>
      </c>
      <c r="N83" s="712">
        <v>4073.8666064423073</v>
      </c>
      <c r="O83" s="712">
        <v>4196.0826046355769</v>
      </c>
      <c r="P83" s="712">
        <v>4240.66731099561</v>
      </c>
    </row>
    <row r="84" spans="1:16">
      <c r="A84" s="709" t="s">
        <v>541</v>
      </c>
      <c r="B84" s="709" t="s">
        <v>673</v>
      </c>
      <c r="C84" s="709" t="s">
        <v>1048</v>
      </c>
      <c r="D84" s="709" t="s">
        <v>1049</v>
      </c>
      <c r="E84" s="709" t="s">
        <v>1050</v>
      </c>
      <c r="F84" s="709" t="s">
        <v>1051</v>
      </c>
      <c r="G84" s="709" t="s">
        <v>753</v>
      </c>
      <c r="H84" s="709">
        <v>5009</v>
      </c>
      <c r="I84" s="709" t="s">
        <v>991</v>
      </c>
      <c r="J84" s="709">
        <v>63300080</v>
      </c>
      <c r="K84" s="709" t="s">
        <v>755</v>
      </c>
      <c r="L84" s="712">
        <v>1969.981729355645</v>
      </c>
      <c r="M84" s="712">
        <v>2081.6865010559977</v>
      </c>
      <c r="N84" s="712">
        <v>2144.1370960876775</v>
      </c>
      <c r="O84" s="712">
        <v>2208.4612089703082</v>
      </c>
      <c r="P84" s="712">
        <v>2231.9268086228717</v>
      </c>
    </row>
    <row r="85" spans="1:16">
      <c r="A85" s="709" t="s">
        <v>541</v>
      </c>
      <c r="B85" s="709" t="s">
        <v>673</v>
      </c>
      <c r="C85" s="709" t="s">
        <v>1052</v>
      </c>
      <c r="D85" s="709" t="s">
        <v>1053</v>
      </c>
      <c r="E85" s="709" t="s">
        <v>1054</v>
      </c>
      <c r="F85" s="709" t="s">
        <v>1055</v>
      </c>
      <c r="G85" s="709" t="s">
        <v>753</v>
      </c>
      <c r="H85" s="709">
        <v>5009</v>
      </c>
      <c r="I85" s="709" t="s">
        <v>991</v>
      </c>
      <c r="J85" s="709">
        <v>63300080</v>
      </c>
      <c r="K85" s="709" t="s">
        <v>755</v>
      </c>
      <c r="L85" s="712">
        <v>20758.71972449957</v>
      </c>
      <c r="M85" s="712">
        <v>21935.810868575965</v>
      </c>
      <c r="N85" s="712">
        <v>22593.885194633243</v>
      </c>
      <c r="O85" s="712">
        <v>23271.701750472243</v>
      </c>
      <c r="P85" s="712">
        <v>23518.970950534422</v>
      </c>
    </row>
    <row r="86" spans="1:16">
      <c r="A86" s="709" t="s">
        <v>541</v>
      </c>
      <c r="B86" s="709" t="s">
        <v>673</v>
      </c>
      <c r="C86" s="709" t="s">
        <v>1056</v>
      </c>
      <c r="D86" s="709" t="s">
        <v>1057</v>
      </c>
      <c r="E86" s="709" t="s">
        <v>1058</v>
      </c>
      <c r="F86" s="709" t="s">
        <v>1059</v>
      </c>
      <c r="G86" s="709" t="s">
        <v>753</v>
      </c>
      <c r="H86" s="709">
        <v>5009</v>
      </c>
      <c r="I86" s="709" t="s">
        <v>991</v>
      </c>
      <c r="J86" s="709">
        <v>63300080</v>
      </c>
      <c r="K86" s="709" t="s">
        <v>755</v>
      </c>
      <c r="L86" s="712">
        <v>66447.786734394511</v>
      </c>
      <c r="M86" s="712">
        <v>70215.605865177553</v>
      </c>
      <c r="N86" s="712">
        <v>72322.074041132888</v>
      </c>
      <c r="O86" s="712">
        <v>74491.736262366874</v>
      </c>
      <c r="P86" s="712">
        <v>75283.234547895758</v>
      </c>
    </row>
    <row r="87" spans="1:16">
      <c r="A87" s="709" t="s">
        <v>541</v>
      </c>
      <c r="B87" s="709" t="s">
        <v>673</v>
      </c>
      <c r="C87" s="709" t="s">
        <v>1060</v>
      </c>
      <c r="D87" s="709" t="s">
        <v>1061</v>
      </c>
      <c r="E87" s="709" t="s">
        <v>1062</v>
      </c>
      <c r="F87" s="709" t="s">
        <v>1063</v>
      </c>
      <c r="G87" s="709" t="s">
        <v>753</v>
      </c>
      <c r="H87" s="709">
        <v>5009</v>
      </c>
      <c r="I87" s="709" t="s">
        <v>991</v>
      </c>
      <c r="J87" s="709">
        <v>63300080</v>
      </c>
      <c r="K87" s="709" t="s">
        <v>755</v>
      </c>
      <c r="L87" s="712">
        <v>393.99707084273393</v>
      </c>
      <c r="M87" s="712">
        <v>416.33806629119977</v>
      </c>
      <c r="N87" s="712">
        <v>428.82820827993578</v>
      </c>
      <c r="O87" s="712">
        <v>441.69305452833385</v>
      </c>
      <c r="P87" s="712">
        <v>446.38618309440557</v>
      </c>
    </row>
    <row r="88" spans="1:16">
      <c r="A88" s="709" t="s">
        <v>397</v>
      </c>
      <c r="B88" s="709" t="s">
        <v>1064</v>
      </c>
      <c r="C88" s="709" t="s">
        <v>1065</v>
      </c>
      <c r="D88" s="709" t="s">
        <v>1066</v>
      </c>
      <c r="E88" s="709" t="s">
        <v>1067</v>
      </c>
      <c r="F88" s="709" t="s">
        <v>1068</v>
      </c>
      <c r="G88" s="709" t="s">
        <v>753</v>
      </c>
      <c r="H88" s="709">
        <v>5008</v>
      </c>
      <c r="I88" s="709" t="s">
        <v>1069</v>
      </c>
      <c r="J88" s="709">
        <v>63300080</v>
      </c>
      <c r="K88" s="709" t="s">
        <v>755</v>
      </c>
      <c r="L88" s="712">
        <v>50015.091738225354</v>
      </c>
      <c r="M88" s="712">
        <v>52851.120276428126</v>
      </c>
      <c r="N88" s="712">
        <v>54436.653884720981</v>
      </c>
      <c r="O88" s="712">
        <v>56069.753501262603</v>
      </c>
      <c r="P88" s="712">
        <v>56665.512386650495</v>
      </c>
    </row>
    <row r="89" spans="1:16" hidden="1">
      <c r="A89" s="709" t="s">
        <v>133</v>
      </c>
      <c r="B89" s="709" t="s">
        <v>662</v>
      </c>
      <c r="C89" s="709" t="s">
        <v>760</v>
      </c>
      <c r="D89" s="709" t="s">
        <v>761</v>
      </c>
      <c r="E89" s="709" t="s">
        <v>762</v>
      </c>
      <c r="F89" s="709" t="s">
        <v>763</v>
      </c>
      <c r="G89" s="709" t="s">
        <v>1070</v>
      </c>
      <c r="H89" s="709">
        <v>5327</v>
      </c>
      <c r="I89" s="709" t="s">
        <v>754</v>
      </c>
      <c r="J89" s="709">
        <v>63300075</v>
      </c>
      <c r="K89" s="709" t="s">
        <v>1071</v>
      </c>
      <c r="L89" s="712">
        <v>10865.067403328041</v>
      </c>
      <c r="M89" s="712">
        <v>11481.154271400001</v>
      </c>
      <c r="N89" s="712">
        <v>11653.371585499999</v>
      </c>
      <c r="O89" s="712">
        <v>11828.1721593</v>
      </c>
      <c r="P89" s="712">
        <v>11953.85023387263</v>
      </c>
    </row>
    <row r="90" spans="1:16" hidden="1">
      <c r="A90" s="709" t="s">
        <v>126</v>
      </c>
      <c r="B90" s="709" t="s">
        <v>663</v>
      </c>
      <c r="C90" s="709" t="s">
        <v>769</v>
      </c>
      <c r="D90" s="709" t="s">
        <v>770</v>
      </c>
      <c r="E90" s="709" t="s">
        <v>771</v>
      </c>
      <c r="F90" s="709" t="s">
        <v>772</v>
      </c>
      <c r="G90" s="709" t="s">
        <v>1070</v>
      </c>
      <c r="H90" s="709">
        <v>5325</v>
      </c>
      <c r="I90" s="709" t="s">
        <v>768</v>
      </c>
      <c r="J90" s="709">
        <v>63300075</v>
      </c>
      <c r="K90" s="709" t="s">
        <v>1071</v>
      </c>
      <c r="L90" s="712">
        <v>11599.196135871603</v>
      </c>
      <c r="M90" s="712">
        <v>12256.91064</v>
      </c>
      <c r="N90" s="712">
        <v>12563.333406</v>
      </c>
      <c r="O90" s="712">
        <v>12877.416741200001</v>
      </c>
      <c r="P90" s="712">
        <v>13014.243371697672</v>
      </c>
    </row>
    <row r="91" spans="1:16" hidden="1">
      <c r="A91" s="709" t="s">
        <v>127</v>
      </c>
      <c r="B91" s="709" t="s">
        <v>663</v>
      </c>
      <c r="C91" s="709" t="s">
        <v>777</v>
      </c>
      <c r="D91" s="709" t="s">
        <v>778</v>
      </c>
      <c r="E91" s="709" t="s">
        <v>779</v>
      </c>
      <c r="F91" s="709" t="s">
        <v>780</v>
      </c>
      <c r="G91" s="709" t="s">
        <v>1070</v>
      </c>
      <c r="H91" s="709">
        <v>5325</v>
      </c>
      <c r="I91" s="709" t="s">
        <v>768</v>
      </c>
      <c r="J91" s="709">
        <v>63300075</v>
      </c>
      <c r="K91" s="709" t="s">
        <v>1071</v>
      </c>
      <c r="L91" s="712">
        <v>11877.583945068225</v>
      </c>
      <c r="M91" s="712">
        <v>12551.084000000001</v>
      </c>
      <c r="N91" s="712">
        <v>12864.86</v>
      </c>
      <c r="O91" s="712">
        <v>13186.48</v>
      </c>
      <c r="P91" s="712">
        <v>13326.590525487023</v>
      </c>
    </row>
    <row r="92" spans="1:16" hidden="1">
      <c r="A92" s="709" t="s">
        <v>593</v>
      </c>
      <c r="B92" s="709" t="s">
        <v>666</v>
      </c>
      <c r="C92" s="709" t="s">
        <v>823</v>
      </c>
      <c r="D92" s="709" t="s">
        <v>824</v>
      </c>
      <c r="E92" s="709" t="s">
        <v>825</v>
      </c>
      <c r="F92" s="709" t="s">
        <v>826</v>
      </c>
      <c r="G92" s="709" t="s">
        <v>1070</v>
      </c>
      <c r="H92" s="709">
        <v>5031</v>
      </c>
      <c r="I92" s="709" t="s">
        <v>827</v>
      </c>
      <c r="J92" s="709">
        <v>63300075</v>
      </c>
      <c r="K92" s="709" t="s">
        <v>1071</v>
      </c>
      <c r="L92" s="712">
        <v>511.02321762302296</v>
      </c>
      <c r="M92" s="712">
        <v>540</v>
      </c>
      <c r="N92" s="712">
        <v>540</v>
      </c>
      <c r="O92" s="712">
        <v>540</v>
      </c>
      <c r="P92" s="712">
        <v>545.73767099051395</v>
      </c>
    </row>
    <row r="93" spans="1:16" hidden="1">
      <c r="A93" s="709" t="s">
        <v>397</v>
      </c>
      <c r="B93" s="709" t="s">
        <v>666</v>
      </c>
      <c r="C93" s="709" t="s">
        <v>828</v>
      </c>
      <c r="D93" s="709" t="s">
        <v>829</v>
      </c>
      <c r="E93" s="709" t="s">
        <v>830</v>
      </c>
      <c r="F93" s="709" t="s">
        <v>831</v>
      </c>
      <c r="G93" s="709" t="s">
        <v>1070</v>
      </c>
      <c r="H93" s="709">
        <v>5031</v>
      </c>
      <c r="I93" s="709" t="s">
        <v>827</v>
      </c>
      <c r="J93" s="709">
        <v>63300075</v>
      </c>
      <c r="K93" s="709" t="s">
        <v>1071</v>
      </c>
      <c r="L93" s="712">
        <v>34680.492938783289</v>
      </c>
      <c r="M93" s="712">
        <v>36646.996733440108</v>
      </c>
      <c r="N93" s="712">
        <v>36646.996733440108</v>
      </c>
      <c r="O93" s="712">
        <v>36646.996733440108</v>
      </c>
      <c r="P93" s="712">
        <v>37036.382677971444</v>
      </c>
    </row>
    <row r="94" spans="1:16" hidden="1">
      <c r="A94" s="709" t="s">
        <v>593</v>
      </c>
      <c r="B94" s="709" t="s">
        <v>666</v>
      </c>
      <c r="C94" s="709" t="s">
        <v>832</v>
      </c>
      <c r="D94" s="709" t="s">
        <v>833</v>
      </c>
      <c r="E94" s="709" t="s">
        <v>834</v>
      </c>
      <c r="F94" s="709" t="s">
        <v>835</v>
      </c>
      <c r="G94" s="709" t="s">
        <v>1070</v>
      </c>
      <c r="H94" s="709">
        <v>5031</v>
      </c>
      <c r="I94" s="709" t="s">
        <v>827</v>
      </c>
      <c r="J94" s="709">
        <v>63300075</v>
      </c>
      <c r="K94" s="709" t="s">
        <v>1071</v>
      </c>
      <c r="L94" s="712">
        <v>189.26785837889739</v>
      </c>
      <c r="M94" s="712">
        <v>200</v>
      </c>
      <c r="N94" s="712">
        <v>200</v>
      </c>
      <c r="O94" s="712">
        <v>200</v>
      </c>
      <c r="P94" s="712">
        <v>202.12506332981999</v>
      </c>
    </row>
    <row r="95" spans="1:16" hidden="1">
      <c r="A95" s="709" t="s">
        <v>133</v>
      </c>
      <c r="B95" s="709" t="s">
        <v>662</v>
      </c>
      <c r="C95" s="709" t="s">
        <v>1072</v>
      </c>
      <c r="D95" s="709" t="s">
        <v>1073</v>
      </c>
      <c r="E95" s="709" t="s">
        <v>1074</v>
      </c>
      <c r="F95" s="709" t="s">
        <v>1075</v>
      </c>
      <c r="G95" s="709" t="s">
        <v>1070</v>
      </c>
      <c r="H95" s="709">
        <v>5327</v>
      </c>
      <c r="I95" s="709" t="s">
        <v>754</v>
      </c>
      <c r="J95" s="709">
        <v>63300030</v>
      </c>
      <c r="K95" s="709" t="s">
        <v>1076</v>
      </c>
      <c r="L95" s="712">
        <v>9356.3003635163259</v>
      </c>
      <c r="M95" s="712">
        <v>9886.8349266000005</v>
      </c>
      <c r="N95" s="712">
        <v>10035.137451000001</v>
      </c>
      <c r="O95" s="712">
        <v>10185.664512699999</v>
      </c>
      <c r="P95" s="712">
        <v>10293.890423428937</v>
      </c>
    </row>
    <row r="96" spans="1:16" hidden="1">
      <c r="A96" s="709" t="s">
        <v>133</v>
      </c>
      <c r="B96" s="709" t="s">
        <v>662</v>
      </c>
      <c r="C96" s="709" t="s">
        <v>749</v>
      </c>
      <c r="D96" s="709" t="s">
        <v>750</v>
      </c>
      <c r="E96" s="709" t="s">
        <v>751</v>
      </c>
      <c r="F96" s="709" t="s">
        <v>752</v>
      </c>
      <c r="G96" s="709" t="s">
        <v>1070</v>
      </c>
      <c r="H96" s="709">
        <v>5327</v>
      </c>
      <c r="I96" s="709" t="s">
        <v>754</v>
      </c>
      <c r="J96" s="709">
        <v>63300030</v>
      </c>
      <c r="K96" s="709" t="s">
        <v>1076</v>
      </c>
      <c r="L96" s="712">
        <v>13646.212589118502</v>
      </c>
      <c r="M96" s="712">
        <v>14420</v>
      </c>
      <c r="N96" s="712">
        <v>14577</v>
      </c>
      <c r="O96" s="712">
        <v>14753</v>
      </c>
      <c r="P96" s="712">
        <v>14909.755296524172</v>
      </c>
    </row>
    <row r="97" spans="1:16" hidden="1">
      <c r="A97" s="709" t="s">
        <v>133</v>
      </c>
      <c r="B97" s="709" t="s">
        <v>662</v>
      </c>
      <c r="C97" s="709" t="s">
        <v>760</v>
      </c>
      <c r="D97" s="709" t="s">
        <v>761</v>
      </c>
      <c r="E97" s="709" t="s">
        <v>762</v>
      </c>
      <c r="F97" s="709" t="s">
        <v>763</v>
      </c>
      <c r="G97" s="709" t="s">
        <v>1070</v>
      </c>
      <c r="H97" s="709">
        <v>5327</v>
      </c>
      <c r="I97" s="709" t="s">
        <v>754</v>
      </c>
      <c r="J97" s="709">
        <v>63300030</v>
      </c>
      <c r="K97" s="709" t="s">
        <v>1076</v>
      </c>
      <c r="L97" s="712">
        <v>6950.8182207134969</v>
      </c>
      <c r="M97" s="712">
        <v>7344.9536337</v>
      </c>
      <c r="N97" s="712">
        <v>7455.1279379999996</v>
      </c>
      <c r="O97" s="712">
        <v>7566.9548570999996</v>
      </c>
      <c r="P97" s="712">
        <v>7647.3561485261316</v>
      </c>
    </row>
    <row r="98" spans="1:16" hidden="1">
      <c r="A98" s="709" t="s">
        <v>126</v>
      </c>
      <c r="B98" s="709" t="s">
        <v>663</v>
      </c>
      <c r="C98" s="709" t="s">
        <v>1077</v>
      </c>
      <c r="D98" s="709" t="s">
        <v>1078</v>
      </c>
      <c r="E98" s="709" t="s">
        <v>1079</v>
      </c>
      <c r="F98" s="709" t="s">
        <v>1080</v>
      </c>
      <c r="G98" s="709" t="s">
        <v>1070</v>
      </c>
      <c r="H98" s="709">
        <v>5325</v>
      </c>
      <c r="I98" s="709" t="s">
        <v>768</v>
      </c>
      <c r="J98" s="709">
        <v>63300030</v>
      </c>
      <c r="K98" s="709" t="s">
        <v>1076</v>
      </c>
      <c r="L98" s="712">
        <v>2192.7817000345535</v>
      </c>
      <c r="M98" s="712">
        <v>2317.12</v>
      </c>
      <c r="N98" s="712">
        <v>2375.0479999999998</v>
      </c>
      <c r="O98" s="712">
        <v>2434.4241999999999</v>
      </c>
      <c r="P98" s="712">
        <v>2460.2907279832316</v>
      </c>
    </row>
    <row r="99" spans="1:16" hidden="1">
      <c r="A99" s="709" t="s">
        <v>126</v>
      </c>
      <c r="B99" s="709" t="s">
        <v>663</v>
      </c>
      <c r="C99" s="709" t="s">
        <v>1081</v>
      </c>
      <c r="D99" s="709" t="s">
        <v>1082</v>
      </c>
      <c r="E99" s="709" t="s">
        <v>1083</v>
      </c>
      <c r="F99" s="709" t="s">
        <v>1084</v>
      </c>
      <c r="G99" s="709" t="s">
        <v>1070</v>
      </c>
      <c r="H99" s="709">
        <v>5325</v>
      </c>
      <c r="I99" s="709" t="s">
        <v>768</v>
      </c>
      <c r="J99" s="709">
        <v>63300030</v>
      </c>
      <c r="K99" s="709" t="s">
        <v>1076</v>
      </c>
      <c r="L99" s="712">
        <v>3778.8747434284705</v>
      </c>
      <c r="M99" s="712">
        <v>3993.15</v>
      </c>
      <c r="N99" s="712">
        <v>4092.9787500000002</v>
      </c>
      <c r="O99" s="712">
        <v>4195.3032187999997</v>
      </c>
      <c r="P99" s="712">
        <v>4239.8796439387379</v>
      </c>
    </row>
    <row r="100" spans="1:16" hidden="1">
      <c r="A100" s="709" t="s">
        <v>126</v>
      </c>
      <c r="B100" s="709" t="s">
        <v>663</v>
      </c>
      <c r="C100" s="709" t="s">
        <v>764</v>
      </c>
      <c r="D100" s="709" t="s">
        <v>765</v>
      </c>
      <c r="E100" s="709" t="s">
        <v>766</v>
      </c>
      <c r="F100" s="709" t="s">
        <v>767</v>
      </c>
      <c r="G100" s="709" t="s">
        <v>1070</v>
      </c>
      <c r="H100" s="709">
        <v>5325</v>
      </c>
      <c r="I100" s="709" t="s">
        <v>768</v>
      </c>
      <c r="J100" s="709">
        <v>63300030</v>
      </c>
      <c r="K100" s="709" t="s">
        <v>1076</v>
      </c>
      <c r="L100" s="712">
        <v>33589.664923569129</v>
      </c>
      <c r="M100" s="712">
        <v>35494.315000199997</v>
      </c>
      <c r="N100" s="712">
        <v>36381.672874700002</v>
      </c>
      <c r="O100" s="712">
        <v>37291.214697900003</v>
      </c>
      <c r="P100" s="712">
        <v>37687.445662294762</v>
      </c>
    </row>
    <row r="101" spans="1:16" hidden="1">
      <c r="A101" s="709" t="s">
        <v>126</v>
      </c>
      <c r="B101" s="709" t="s">
        <v>663</v>
      </c>
      <c r="C101" s="709" t="s">
        <v>769</v>
      </c>
      <c r="D101" s="709" t="s">
        <v>770</v>
      </c>
      <c r="E101" s="709" t="s">
        <v>771</v>
      </c>
      <c r="F101" s="709" t="s">
        <v>772</v>
      </c>
      <c r="G101" s="709" t="s">
        <v>1070</v>
      </c>
      <c r="H101" s="709">
        <v>5325</v>
      </c>
      <c r="I101" s="709" t="s">
        <v>768</v>
      </c>
      <c r="J101" s="709">
        <v>63300030</v>
      </c>
      <c r="K101" s="709" t="s">
        <v>1076</v>
      </c>
      <c r="L101" s="712">
        <v>24242.219643992976</v>
      </c>
      <c r="M101" s="712">
        <v>25616.8372714</v>
      </c>
      <c r="N101" s="712">
        <v>26257.258203500001</v>
      </c>
      <c r="O101" s="712">
        <v>26913.689658700001</v>
      </c>
      <c r="P101" s="712">
        <v>27199.656133519296</v>
      </c>
    </row>
    <row r="102" spans="1:16" hidden="1">
      <c r="A102" s="709" t="s">
        <v>127</v>
      </c>
      <c r="B102" s="709" t="s">
        <v>663</v>
      </c>
      <c r="C102" s="709" t="s">
        <v>1085</v>
      </c>
      <c r="D102" s="709" t="s">
        <v>1086</v>
      </c>
      <c r="E102" s="709" t="s">
        <v>1087</v>
      </c>
      <c r="F102" s="709" t="s">
        <v>1088</v>
      </c>
      <c r="G102" s="709" t="s">
        <v>1070</v>
      </c>
      <c r="H102" s="709">
        <v>5325</v>
      </c>
      <c r="I102" s="709" t="s">
        <v>768</v>
      </c>
      <c r="J102" s="709">
        <v>63300030</v>
      </c>
      <c r="K102" s="709" t="s">
        <v>1076</v>
      </c>
      <c r="L102" s="712">
        <v>2192.7817000345535</v>
      </c>
      <c r="M102" s="712">
        <v>2317.12</v>
      </c>
      <c r="N102" s="712">
        <v>2375.04</v>
      </c>
      <c r="O102" s="712">
        <v>2434.42</v>
      </c>
      <c r="P102" s="712">
        <v>2460.286483356902</v>
      </c>
    </row>
    <row r="103" spans="1:16" hidden="1">
      <c r="A103" s="709" t="s">
        <v>127</v>
      </c>
      <c r="B103" s="709" t="s">
        <v>663</v>
      </c>
      <c r="C103" s="709" t="s">
        <v>1089</v>
      </c>
      <c r="D103" s="709" t="s">
        <v>1090</v>
      </c>
      <c r="E103" s="709" t="s">
        <v>1091</v>
      </c>
      <c r="F103" s="709" t="s">
        <v>1092</v>
      </c>
      <c r="G103" s="709" t="s">
        <v>1070</v>
      </c>
      <c r="H103" s="709">
        <v>5325</v>
      </c>
      <c r="I103" s="709" t="s">
        <v>768</v>
      </c>
      <c r="J103" s="709">
        <v>63300030</v>
      </c>
      <c r="K103" s="709" t="s">
        <v>1076</v>
      </c>
      <c r="L103" s="712">
        <v>4040.0407295090517</v>
      </c>
      <c r="M103" s="712">
        <v>4269.125</v>
      </c>
      <c r="N103" s="712">
        <v>4375.8500000000004</v>
      </c>
      <c r="O103" s="712">
        <v>4485.25</v>
      </c>
      <c r="P103" s="712">
        <v>4532.9072015003758</v>
      </c>
    </row>
    <row r="104" spans="1:16" hidden="1">
      <c r="A104" s="709" t="s">
        <v>127</v>
      </c>
      <c r="B104" s="709" t="s">
        <v>663</v>
      </c>
      <c r="C104" s="709" t="s">
        <v>773</v>
      </c>
      <c r="D104" s="709" t="s">
        <v>774</v>
      </c>
      <c r="E104" s="709" t="s">
        <v>775</v>
      </c>
      <c r="F104" s="709" t="s">
        <v>776</v>
      </c>
      <c r="G104" s="709" t="s">
        <v>1070</v>
      </c>
      <c r="H104" s="709">
        <v>5325</v>
      </c>
      <c r="I104" s="709" t="s">
        <v>768</v>
      </c>
      <c r="J104" s="709">
        <v>63300030</v>
      </c>
      <c r="K104" s="709" t="s">
        <v>1076</v>
      </c>
      <c r="L104" s="712">
        <v>50798.262947816605</v>
      </c>
      <c r="M104" s="712">
        <v>53678.700000000012</v>
      </c>
      <c r="N104" s="712">
        <v>55020.780000000013</v>
      </c>
      <c r="O104" s="712">
        <v>56396.210000000014</v>
      </c>
      <c r="P104" s="712">
        <v>56995.437589059147</v>
      </c>
    </row>
    <row r="105" spans="1:16" hidden="1">
      <c r="A105" s="709" t="s">
        <v>127</v>
      </c>
      <c r="B105" s="709" t="s">
        <v>663</v>
      </c>
      <c r="C105" s="709" t="s">
        <v>1093</v>
      </c>
      <c r="D105" s="709" t="s">
        <v>1094</v>
      </c>
      <c r="E105" s="709" t="s">
        <v>1095</v>
      </c>
      <c r="F105" s="709" t="s">
        <v>1096</v>
      </c>
      <c r="G105" s="709" t="s">
        <v>1070</v>
      </c>
      <c r="H105" s="709">
        <v>5325</v>
      </c>
      <c r="I105" s="709" t="s">
        <v>768</v>
      </c>
      <c r="J105" s="709">
        <v>63300030</v>
      </c>
      <c r="K105" s="709" t="s">
        <v>1076</v>
      </c>
      <c r="L105" s="712">
        <v>266.15192402952755</v>
      </c>
      <c r="M105" s="712">
        <v>281.24365786050697</v>
      </c>
      <c r="N105" s="712">
        <v>88.245428329361971</v>
      </c>
      <c r="O105" s="712">
        <v>51.19806846198847</v>
      </c>
      <c r="P105" s="712">
        <v>51.742064151219395</v>
      </c>
    </row>
    <row r="106" spans="1:16" hidden="1">
      <c r="A106" s="709" t="s">
        <v>127</v>
      </c>
      <c r="B106" s="709" t="s">
        <v>663</v>
      </c>
      <c r="C106" s="709" t="s">
        <v>777</v>
      </c>
      <c r="D106" s="709" t="s">
        <v>778</v>
      </c>
      <c r="E106" s="709" t="s">
        <v>779</v>
      </c>
      <c r="F106" s="709" t="s">
        <v>780</v>
      </c>
      <c r="G106" s="709" t="s">
        <v>1070</v>
      </c>
      <c r="H106" s="709">
        <v>5325</v>
      </c>
      <c r="I106" s="709" t="s">
        <v>768</v>
      </c>
      <c r="J106" s="709">
        <v>63300030</v>
      </c>
      <c r="K106" s="709" t="s">
        <v>1076</v>
      </c>
      <c r="L106" s="712">
        <v>20085.426886527835</v>
      </c>
      <c r="M106" s="712">
        <v>21224.34</v>
      </c>
      <c r="N106" s="712">
        <v>21754.9</v>
      </c>
      <c r="O106" s="712">
        <v>22298.77</v>
      </c>
      <c r="P106" s="712">
        <v>22535.701492135449</v>
      </c>
    </row>
    <row r="107" spans="1:16" hidden="1">
      <c r="A107" s="709" t="s">
        <v>406</v>
      </c>
      <c r="B107" s="709" t="s">
        <v>664</v>
      </c>
      <c r="C107" s="709" t="s">
        <v>786</v>
      </c>
      <c r="D107" s="709" t="s">
        <v>787</v>
      </c>
      <c r="E107" s="709" t="s">
        <v>788</v>
      </c>
      <c r="F107" s="709" t="s">
        <v>789</v>
      </c>
      <c r="G107" s="709" t="s">
        <v>1070</v>
      </c>
      <c r="H107" s="709">
        <v>5240</v>
      </c>
      <c r="I107" s="709" t="s">
        <v>785</v>
      </c>
      <c r="J107" s="709">
        <v>63300030</v>
      </c>
      <c r="K107" s="709" t="s">
        <v>1076</v>
      </c>
      <c r="L107" s="712">
        <v>1892.6785837889743</v>
      </c>
      <c r="M107" s="712">
        <v>2000.0000000000005</v>
      </c>
      <c r="N107" s="712">
        <v>2000.0000000000005</v>
      </c>
      <c r="O107" s="712">
        <v>2000.0000000000005</v>
      </c>
      <c r="P107" s="712">
        <v>2021.2506332982002</v>
      </c>
    </row>
    <row r="108" spans="1:16" hidden="1">
      <c r="A108" s="709" t="s">
        <v>406</v>
      </c>
      <c r="B108" s="709" t="s">
        <v>664</v>
      </c>
      <c r="C108" s="709" t="s">
        <v>790</v>
      </c>
      <c r="D108" s="709" t="s">
        <v>791</v>
      </c>
      <c r="E108" s="709" t="s">
        <v>792</v>
      </c>
      <c r="F108" s="709" t="s">
        <v>793</v>
      </c>
      <c r="G108" s="709" t="s">
        <v>1070</v>
      </c>
      <c r="H108" s="709">
        <v>5240</v>
      </c>
      <c r="I108" s="709" t="s">
        <v>785</v>
      </c>
      <c r="J108" s="709">
        <v>63300030</v>
      </c>
      <c r="K108" s="709" t="s">
        <v>1076</v>
      </c>
      <c r="L108" s="712">
        <v>386.10643109295069</v>
      </c>
      <c r="M108" s="712">
        <v>408</v>
      </c>
      <c r="N108" s="712">
        <v>408</v>
      </c>
      <c r="O108" s="712">
        <v>408</v>
      </c>
      <c r="P108" s="712">
        <v>412.33512919283277</v>
      </c>
    </row>
    <row r="109" spans="1:16" hidden="1">
      <c r="A109" s="709" t="s">
        <v>406</v>
      </c>
      <c r="B109" s="709" t="s">
        <v>664</v>
      </c>
      <c r="C109" s="709" t="s">
        <v>798</v>
      </c>
      <c r="D109" s="709" t="s">
        <v>799</v>
      </c>
      <c r="E109" s="709" t="s">
        <v>800</v>
      </c>
      <c r="F109" s="709" t="s">
        <v>801</v>
      </c>
      <c r="G109" s="709" t="s">
        <v>1070</v>
      </c>
      <c r="H109" s="709">
        <v>5240</v>
      </c>
      <c r="I109" s="709" t="s">
        <v>785</v>
      </c>
      <c r="J109" s="709">
        <v>63300030</v>
      </c>
      <c r="K109" s="709" t="s">
        <v>1076</v>
      </c>
      <c r="L109" s="712">
        <v>17124.955826122634</v>
      </c>
      <c r="M109" s="712">
        <v>18095.999999999996</v>
      </c>
      <c r="N109" s="712">
        <v>18095.999999999996</v>
      </c>
      <c r="O109" s="712">
        <v>18095.999999999996</v>
      </c>
      <c r="P109" s="712">
        <v>18288.27573008211</v>
      </c>
    </row>
    <row r="110" spans="1:16" hidden="1">
      <c r="A110" s="709" t="s">
        <v>593</v>
      </c>
      <c r="B110" s="709" t="s">
        <v>665</v>
      </c>
      <c r="C110" s="709" t="s">
        <v>802</v>
      </c>
      <c r="D110" s="709" t="s">
        <v>803</v>
      </c>
      <c r="E110" s="709" t="s">
        <v>804</v>
      </c>
      <c r="F110" s="709" t="s">
        <v>805</v>
      </c>
      <c r="G110" s="709" t="s">
        <v>1070</v>
      </c>
      <c r="H110" s="709">
        <v>5150</v>
      </c>
      <c r="I110" s="709" t="s">
        <v>806</v>
      </c>
      <c r="J110" s="709">
        <v>63300030</v>
      </c>
      <c r="K110" s="709" t="s">
        <v>1076</v>
      </c>
      <c r="L110" s="712">
        <v>5746.1721803833252</v>
      </c>
      <c r="M110" s="712">
        <v>6072.0000000000009</v>
      </c>
      <c r="N110" s="712">
        <v>6300.0000000000018</v>
      </c>
      <c r="O110" s="712">
        <v>6480.0000000000018</v>
      </c>
      <c r="P110" s="712">
        <v>6548.8520518861696</v>
      </c>
    </row>
    <row r="111" spans="1:16" hidden="1">
      <c r="A111" s="709" t="s">
        <v>593</v>
      </c>
      <c r="B111" s="709" t="s">
        <v>665</v>
      </c>
      <c r="C111" s="709" t="s">
        <v>807</v>
      </c>
      <c r="D111" s="709" t="s">
        <v>808</v>
      </c>
      <c r="E111" s="709" t="s">
        <v>809</v>
      </c>
      <c r="F111" s="709" t="s">
        <v>810</v>
      </c>
      <c r="G111" s="709" t="s">
        <v>1070</v>
      </c>
      <c r="H111" s="709">
        <v>5150</v>
      </c>
      <c r="I111" s="709" t="s">
        <v>806</v>
      </c>
      <c r="J111" s="709">
        <v>63300030</v>
      </c>
      <c r="K111" s="709" t="s">
        <v>1076</v>
      </c>
      <c r="L111" s="712">
        <v>64379.462027581962</v>
      </c>
      <c r="M111" s="712">
        <v>68030.000000000015</v>
      </c>
      <c r="N111" s="712">
        <v>68630.000000000015</v>
      </c>
      <c r="O111" s="712">
        <v>69230.000000000015</v>
      </c>
      <c r="P111" s="712">
        <v>69965.590671617203</v>
      </c>
    </row>
    <row r="112" spans="1:16" hidden="1">
      <c r="A112" s="709" t="s">
        <v>593</v>
      </c>
      <c r="B112" s="709" t="s">
        <v>665</v>
      </c>
      <c r="C112" s="709" t="s">
        <v>815</v>
      </c>
      <c r="D112" s="709" t="s">
        <v>816</v>
      </c>
      <c r="E112" s="709" t="s">
        <v>817</v>
      </c>
      <c r="F112" s="709" t="s">
        <v>818</v>
      </c>
      <c r="G112" s="709" t="s">
        <v>1070</v>
      </c>
      <c r="H112" s="709">
        <v>5150</v>
      </c>
      <c r="I112" s="709" t="s">
        <v>806</v>
      </c>
      <c r="J112" s="709">
        <v>63300030</v>
      </c>
      <c r="K112" s="709" t="s">
        <v>1076</v>
      </c>
      <c r="L112" s="712">
        <v>6007.3618249462015</v>
      </c>
      <c r="M112" s="712">
        <v>6347.9999999999982</v>
      </c>
      <c r="N112" s="712">
        <v>6539.9999999999982</v>
      </c>
      <c r="O112" s="712">
        <v>6695.9999999999982</v>
      </c>
      <c r="P112" s="712">
        <v>6767.1471202823714</v>
      </c>
    </row>
    <row r="113" spans="1:16" hidden="1">
      <c r="A113" s="709" t="s">
        <v>593</v>
      </c>
      <c r="B113" s="709" t="s">
        <v>665</v>
      </c>
      <c r="C113" s="709" t="s">
        <v>819</v>
      </c>
      <c r="D113" s="709" t="s">
        <v>820</v>
      </c>
      <c r="E113" s="709" t="s">
        <v>821</v>
      </c>
      <c r="F113" s="709" t="s">
        <v>822</v>
      </c>
      <c r="G113" s="709" t="s">
        <v>1070</v>
      </c>
      <c r="H113" s="709">
        <v>5150</v>
      </c>
      <c r="I113" s="709" t="s">
        <v>806</v>
      </c>
      <c r="J113" s="709">
        <v>63300030</v>
      </c>
      <c r="K113" s="709" t="s">
        <v>1076</v>
      </c>
      <c r="L113" s="712">
        <v>5564.4750363395842</v>
      </c>
      <c r="M113" s="712">
        <v>5880.0000000000009</v>
      </c>
      <c r="N113" s="712">
        <v>6000.0000000000009</v>
      </c>
      <c r="O113" s="712">
        <v>6180.0000000000018</v>
      </c>
      <c r="P113" s="712">
        <v>6245.6644568914398</v>
      </c>
    </row>
    <row r="114" spans="1:16" hidden="1">
      <c r="A114" s="709" t="s">
        <v>593</v>
      </c>
      <c r="B114" s="709" t="s">
        <v>666</v>
      </c>
      <c r="C114" s="709" t="s">
        <v>823</v>
      </c>
      <c r="D114" s="709" t="s">
        <v>824</v>
      </c>
      <c r="E114" s="709" t="s">
        <v>825</v>
      </c>
      <c r="F114" s="709" t="s">
        <v>826</v>
      </c>
      <c r="G114" s="709" t="s">
        <v>1070</v>
      </c>
      <c r="H114" s="709">
        <v>5031</v>
      </c>
      <c r="I114" s="709" t="s">
        <v>827</v>
      </c>
      <c r="J114" s="709">
        <v>63300030</v>
      </c>
      <c r="K114" s="709" t="s">
        <v>1076</v>
      </c>
      <c r="L114" s="712">
        <v>35555.859875059665</v>
      </c>
      <c r="M114" s="712">
        <v>37572</v>
      </c>
      <c r="N114" s="712">
        <v>37572</v>
      </c>
      <c r="O114" s="712">
        <v>37572</v>
      </c>
      <c r="P114" s="712">
        <v>37971.214397139986</v>
      </c>
    </row>
    <row r="115" spans="1:16" hidden="1">
      <c r="A115" s="709" t="s">
        <v>397</v>
      </c>
      <c r="B115" s="709" t="s">
        <v>666</v>
      </c>
      <c r="C115" s="709" t="s">
        <v>828</v>
      </c>
      <c r="D115" s="709" t="s">
        <v>829</v>
      </c>
      <c r="E115" s="709" t="s">
        <v>830</v>
      </c>
      <c r="F115" s="709" t="s">
        <v>831</v>
      </c>
      <c r="G115" s="709" t="s">
        <v>1070</v>
      </c>
      <c r="H115" s="709">
        <v>5031</v>
      </c>
      <c r="I115" s="709" t="s">
        <v>827</v>
      </c>
      <c r="J115" s="709">
        <v>63300030</v>
      </c>
      <c r="K115" s="709" t="s">
        <v>1076</v>
      </c>
      <c r="L115" s="712">
        <v>21246.365147759865</v>
      </c>
      <c r="M115" s="712">
        <v>22451.107472486463</v>
      </c>
      <c r="N115" s="712">
        <v>22451.107472486463</v>
      </c>
      <c r="O115" s="712">
        <v>22451.107472486463</v>
      </c>
      <c r="P115" s="712">
        <v>22689.657598504604</v>
      </c>
    </row>
    <row r="116" spans="1:16" hidden="1">
      <c r="A116" s="709" t="s">
        <v>593</v>
      </c>
      <c r="B116" s="709" t="s">
        <v>666</v>
      </c>
      <c r="C116" s="709" t="s">
        <v>832</v>
      </c>
      <c r="D116" s="709" t="s">
        <v>833</v>
      </c>
      <c r="E116" s="709" t="s">
        <v>834</v>
      </c>
      <c r="F116" s="709" t="s">
        <v>835</v>
      </c>
      <c r="G116" s="709" t="s">
        <v>1070</v>
      </c>
      <c r="H116" s="709">
        <v>5031</v>
      </c>
      <c r="I116" s="709" t="s">
        <v>827</v>
      </c>
      <c r="J116" s="709">
        <v>63300030</v>
      </c>
      <c r="K116" s="709" t="s">
        <v>1076</v>
      </c>
      <c r="L116" s="712">
        <v>14609.58598826709</v>
      </c>
      <c r="M116" s="712">
        <v>15438</v>
      </c>
      <c r="N116" s="712">
        <v>15438</v>
      </c>
      <c r="O116" s="712">
        <v>15438</v>
      </c>
      <c r="P116" s="712">
        <v>15602.033638428806</v>
      </c>
    </row>
    <row r="117" spans="1:16" hidden="1">
      <c r="A117" s="709" t="s">
        <v>398</v>
      </c>
      <c r="B117" s="709" t="s">
        <v>667</v>
      </c>
      <c r="C117" s="709" t="s">
        <v>836</v>
      </c>
      <c r="D117" s="709" t="s">
        <v>837</v>
      </c>
      <c r="E117" s="709" t="s">
        <v>838</v>
      </c>
      <c r="F117" s="709" t="s">
        <v>839</v>
      </c>
      <c r="G117" s="709" t="s">
        <v>1070</v>
      </c>
      <c r="H117" s="709">
        <v>5025</v>
      </c>
      <c r="I117" s="709" t="s">
        <v>840</v>
      </c>
      <c r="J117" s="709">
        <v>63300030</v>
      </c>
      <c r="K117" s="709" t="s">
        <v>1076</v>
      </c>
      <c r="L117" s="712">
        <v>59104.56681456208</v>
      </c>
      <c r="M117" s="712">
        <v>62456</v>
      </c>
      <c r="N117" s="712">
        <v>62456</v>
      </c>
      <c r="O117" s="712">
        <v>62456</v>
      </c>
      <c r="P117" s="712">
        <v>63119.614776636183</v>
      </c>
    </row>
    <row r="118" spans="1:16" hidden="1">
      <c r="A118" s="709" t="s">
        <v>398</v>
      </c>
      <c r="B118" s="709" t="s">
        <v>667</v>
      </c>
      <c r="C118" s="709" t="s">
        <v>861</v>
      </c>
      <c r="D118" s="709" t="s">
        <v>862</v>
      </c>
      <c r="E118" s="709" t="s">
        <v>863</v>
      </c>
      <c r="F118" s="709" t="s">
        <v>864</v>
      </c>
      <c r="G118" s="709" t="s">
        <v>1070</v>
      </c>
      <c r="H118" s="709">
        <v>5025</v>
      </c>
      <c r="I118" s="709" t="s">
        <v>840</v>
      </c>
      <c r="J118" s="709">
        <v>63300030</v>
      </c>
      <c r="K118" s="709" t="s">
        <v>1076</v>
      </c>
      <c r="L118" s="712">
        <v>18090.22190385501</v>
      </c>
      <c r="M118" s="712">
        <v>19115.999999999996</v>
      </c>
      <c r="N118" s="712">
        <v>19115.999999999996</v>
      </c>
      <c r="O118" s="712">
        <v>19115.999999999996</v>
      </c>
      <c r="P118" s="712">
        <v>19319.113553064191</v>
      </c>
    </row>
    <row r="119" spans="1:16" hidden="1">
      <c r="A119" s="709" t="s">
        <v>397</v>
      </c>
      <c r="B119" s="709" t="s">
        <v>873</v>
      </c>
      <c r="C119" s="709" t="s">
        <v>874</v>
      </c>
      <c r="D119" s="709" t="s">
        <v>875</v>
      </c>
      <c r="E119" s="709" t="s">
        <v>876</v>
      </c>
      <c r="F119" s="709" t="s">
        <v>877</v>
      </c>
      <c r="G119" s="709" t="s">
        <v>1070</v>
      </c>
      <c r="H119" s="709">
        <v>5024</v>
      </c>
      <c r="I119" s="709" t="s">
        <v>878</v>
      </c>
      <c r="J119" s="709">
        <v>63300030</v>
      </c>
      <c r="K119" s="709" t="s">
        <v>1076</v>
      </c>
      <c r="L119" s="712">
        <v>30803.343951165549</v>
      </c>
      <c r="M119" s="712">
        <v>32550</v>
      </c>
      <c r="N119" s="712">
        <v>32550</v>
      </c>
      <c r="O119" s="712">
        <v>32550</v>
      </c>
      <c r="P119" s="712">
        <v>32895.854056928205</v>
      </c>
    </row>
    <row r="120" spans="1:16" hidden="1">
      <c r="A120" s="709" t="s">
        <v>399</v>
      </c>
      <c r="B120" s="709" t="s">
        <v>668</v>
      </c>
      <c r="C120" s="709" t="s">
        <v>1097</v>
      </c>
      <c r="D120" s="709" t="s">
        <v>1098</v>
      </c>
      <c r="E120" s="709" t="s">
        <v>1099</v>
      </c>
      <c r="F120" s="709" t="s">
        <v>1100</v>
      </c>
      <c r="G120" s="709" t="s">
        <v>1070</v>
      </c>
      <c r="H120" s="709">
        <v>5021</v>
      </c>
      <c r="I120" s="709" t="s">
        <v>883</v>
      </c>
      <c r="J120" s="709">
        <v>63300030</v>
      </c>
      <c r="K120" s="709" t="s">
        <v>1076</v>
      </c>
      <c r="L120" s="712">
        <v>1368.406616079428</v>
      </c>
      <c r="M120" s="712">
        <v>1445.9999999999998</v>
      </c>
      <c r="N120" s="712">
        <v>1445.9999999999998</v>
      </c>
      <c r="O120" s="712">
        <v>1445.9999999999998</v>
      </c>
      <c r="P120" s="712">
        <v>1461.3642078745984</v>
      </c>
    </row>
    <row r="121" spans="1:16" hidden="1">
      <c r="A121" s="709" t="s">
        <v>399</v>
      </c>
      <c r="B121" s="709" t="s">
        <v>668</v>
      </c>
      <c r="C121" s="709" t="s">
        <v>892</v>
      </c>
      <c r="D121" s="709" t="s">
        <v>893</v>
      </c>
      <c r="E121" s="709" t="s">
        <v>894</v>
      </c>
      <c r="F121" s="709" t="s">
        <v>895</v>
      </c>
      <c r="G121" s="709" t="s">
        <v>1070</v>
      </c>
      <c r="H121" s="709">
        <v>5021</v>
      </c>
      <c r="I121" s="709" t="s">
        <v>883</v>
      </c>
      <c r="J121" s="709">
        <v>63300030</v>
      </c>
      <c r="K121" s="709" t="s">
        <v>1076</v>
      </c>
      <c r="L121" s="712">
        <v>4247.1707420224584</v>
      </c>
      <c r="M121" s="712">
        <v>4488.0000000000009</v>
      </c>
      <c r="N121" s="712">
        <v>4488.0000000000009</v>
      </c>
      <c r="O121" s="712">
        <v>4488.0000000000009</v>
      </c>
      <c r="P121" s="712">
        <v>4535.6864211211614</v>
      </c>
    </row>
    <row r="122" spans="1:16" hidden="1">
      <c r="A122" s="709" t="s">
        <v>399</v>
      </c>
      <c r="B122" s="709" t="s">
        <v>668</v>
      </c>
      <c r="C122" s="709" t="s">
        <v>896</v>
      </c>
      <c r="D122" s="709" t="s">
        <v>897</v>
      </c>
      <c r="E122" s="709" t="s">
        <v>898</v>
      </c>
      <c r="F122" s="709" t="s">
        <v>899</v>
      </c>
      <c r="G122" s="709" t="s">
        <v>1070</v>
      </c>
      <c r="H122" s="709">
        <v>5021</v>
      </c>
      <c r="I122" s="709" t="s">
        <v>883</v>
      </c>
      <c r="J122" s="709">
        <v>63300030</v>
      </c>
      <c r="K122" s="709" t="s">
        <v>1076</v>
      </c>
      <c r="L122" s="712">
        <v>41216.861519172482</v>
      </c>
      <c r="M122" s="712">
        <v>43554</v>
      </c>
      <c r="N122" s="712">
        <v>43554</v>
      </c>
      <c r="O122" s="712">
        <v>43554</v>
      </c>
      <c r="P122" s="712">
        <v>44016.775041334899</v>
      </c>
    </row>
    <row r="123" spans="1:16" hidden="1">
      <c r="A123" s="709" t="s">
        <v>407</v>
      </c>
      <c r="B123" s="709" t="s">
        <v>669</v>
      </c>
      <c r="C123" s="709" t="s">
        <v>1101</v>
      </c>
      <c r="D123" s="709" t="s">
        <v>1102</v>
      </c>
      <c r="E123" s="709" t="s">
        <v>1103</v>
      </c>
      <c r="F123" s="709" t="s">
        <v>1104</v>
      </c>
      <c r="G123" s="709" t="s">
        <v>1070</v>
      </c>
      <c r="H123" s="709">
        <v>5020</v>
      </c>
      <c r="I123" s="709" t="s">
        <v>908</v>
      </c>
      <c r="J123" s="709">
        <v>63300030</v>
      </c>
      <c r="K123" s="709" t="s">
        <v>1076</v>
      </c>
      <c r="L123" s="712">
        <v>3976.517704540634</v>
      </c>
      <c r="M123" s="712">
        <v>4202</v>
      </c>
      <c r="N123" s="712">
        <v>4202</v>
      </c>
      <c r="O123" s="712">
        <v>4202</v>
      </c>
      <c r="P123" s="712">
        <v>4246.6475805595182</v>
      </c>
    </row>
    <row r="124" spans="1:16" hidden="1">
      <c r="A124" s="709" t="s">
        <v>407</v>
      </c>
      <c r="B124" s="709" t="s">
        <v>669</v>
      </c>
      <c r="C124" s="709" t="s">
        <v>1105</v>
      </c>
      <c r="D124" s="709" t="s">
        <v>1106</v>
      </c>
      <c r="E124" s="709" t="s">
        <v>1107</v>
      </c>
      <c r="F124" s="709" t="s">
        <v>1108</v>
      </c>
      <c r="G124" s="709" t="s">
        <v>1070</v>
      </c>
      <c r="H124" s="709">
        <v>5020</v>
      </c>
      <c r="I124" s="709" t="s">
        <v>908</v>
      </c>
      <c r="J124" s="709">
        <v>63300030</v>
      </c>
      <c r="K124" s="709" t="s">
        <v>1076</v>
      </c>
      <c r="L124" s="712">
        <v>994.60259578110583</v>
      </c>
      <c r="M124" s="712">
        <v>1051</v>
      </c>
      <c r="N124" s="712">
        <v>1051</v>
      </c>
      <c r="O124" s="712">
        <v>1051</v>
      </c>
      <c r="P124" s="712">
        <v>1062.1672077982041</v>
      </c>
    </row>
    <row r="125" spans="1:16" hidden="1">
      <c r="A125" s="709" t="s">
        <v>405</v>
      </c>
      <c r="B125" s="709" t="s">
        <v>669</v>
      </c>
      <c r="C125" s="709" t="s">
        <v>909</v>
      </c>
      <c r="D125" s="709" t="s">
        <v>910</v>
      </c>
      <c r="E125" s="709" t="s">
        <v>911</v>
      </c>
      <c r="F125" s="709" t="s">
        <v>912</v>
      </c>
      <c r="G125" s="709" t="s">
        <v>1070</v>
      </c>
      <c r="H125" s="709">
        <v>5020</v>
      </c>
      <c r="I125" s="709" t="s">
        <v>908</v>
      </c>
      <c r="J125" s="709">
        <v>63300030</v>
      </c>
      <c r="K125" s="709" t="s">
        <v>1076</v>
      </c>
      <c r="L125" s="712">
        <v>4920.9643178513315</v>
      </c>
      <c r="M125" s="712">
        <v>5199.9999999999991</v>
      </c>
      <c r="N125" s="712">
        <v>5199.9999999999991</v>
      </c>
      <c r="O125" s="712">
        <v>5199.9999999999991</v>
      </c>
      <c r="P125" s="712">
        <v>5255.2516465753188</v>
      </c>
    </row>
    <row r="126" spans="1:16" hidden="1">
      <c r="A126" s="709" t="s">
        <v>397</v>
      </c>
      <c r="B126" s="709" t="s">
        <v>669</v>
      </c>
      <c r="C126" s="709" t="s">
        <v>913</v>
      </c>
      <c r="D126" s="709" t="s">
        <v>914</v>
      </c>
      <c r="E126" s="709" t="s">
        <v>915</v>
      </c>
      <c r="F126" s="709" t="s">
        <v>916</v>
      </c>
      <c r="G126" s="709" t="s">
        <v>1070</v>
      </c>
      <c r="H126" s="709">
        <v>5020</v>
      </c>
      <c r="I126" s="709" t="s">
        <v>908</v>
      </c>
      <c r="J126" s="709">
        <v>63300030</v>
      </c>
      <c r="K126" s="709" t="s">
        <v>1076</v>
      </c>
      <c r="L126" s="712">
        <v>17034.107254100767</v>
      </c>
      <c r="M126" s="712">
        <v>18000</v>
      </c>
      <c r="N126" s="712">
        <v>18000</v>
      </c>
      <c r="O126" s="712">
        <v>18000</v>
      </c>
      <c r="P126" s="712">
        <v>18191.255699683799</v>
      </c>
    </row>
    <row r="127" spans="1:16" hidden="1">
      <c r="A127" s="709" t="s">
        <v>287</v>
      </c>
      <c r="B127" s="709" t="s">
        <v>670</v>
      </c>
      <c r="C127" s="709" t="s">
        <v>942</v>
      </c>
      <c r="D127" s="709" t="s">
        <v>943</v>
      </c>
      <c r="E127" s="709" t="s">
        <v>944</v>
      </c>
      <c r="F127" s="709" t="s">
        <v>945</v>
      </c>
      <c r="G127" s="709" t="s">
        <v>1070</v>
      </c>
      <c r="H127" s="709">
        <v>5019</v>
      </c>
      <c r="I127" s="709" t="s">
        <v>921</v>
      </c>
      <c r="J127" s="709">
        <v>63300030</v>
      </c>
      <c r="K127" s="709" t="s">
        <v>1076</v>
      </c>
      <c r="L127" s="712">
        <v>35158.397372463973</v>
      </c>
      <c r="M127" s="712">
        <v>37151.999999999993</v>
      </c>
      <c r="N127" s="712">
        <v>37151.999999999993</v>
      </c>
      <c r="O127" s="712">
        <v>37151.999999999993</v>
      </c>
      <c r="P127" s="712">
        <v>37546.751764147353</v>
      </c>
    </row>
    <row r="128" spans="1:16" hidden="1">
      <c r="A128" s="709" t="s">
        <v>403</v>
      </c>
      <c r="B128" s="709" t="s">
        <v>671</v>
      </c>
      <c r="C128" s="709" t="s">
        <v>971</v>
      </c>
      <c r="D128" s="709" t="s">
        <v>972</v>
      </c>
      <c r="E128" s="709" t="s">
        <v>973</v>
      </c>
      <c r="F128" s="709" t="s">
        <v>974</v>
      </c>
      <c r="G128" s="709" t="s">
        <v>1070</v>
      </c>
      <c r="H128" s="709">
        <v>5017</v>
      </c>
      <c r="I128" s="709" t="s">
        <v>954</v>
      </c>
      <c r="J128" s="709">
        <v>63300030</v>
      </c>
      <c r="K128" s="709" t="s">
        <v>1076</v>
      </c>
      <c r="L128" s="712">
        <v>22273.041574028633</v>
      </c>
      <c r="M128" s="712">
        <v>23535.999999999989</v>
      </c>
      <c r="N128" s="712">
        <v>23535.999999999989</v>
      </c>
      <c r="O128" s="712">
        <v>328745.99999999983</v>
      </c>
      <c r="P128" s="712">
        <v>332239.03034712485</v>
      </c>
    </row>
    <row r="129" spans="1:16" hidden="1">
      <c r="A129" s="709" t="s">
        <v>403</v>
      </c>
      <c r="B129" s="709" t="s">
        <v>671</v>
      </c>
      <c r="C129" s="709" t="s">
        <v>979</v>
      </c>
      <c r="D129" s="709" t="s">
        <v>980</v>
      </c>
      <c r="E129" s="709" t="s">
        <v>981</v>
      </c>
      <c r="F129" s="709" t="s">
        <v>982</v>
      </c>
      <c r="G129" s="709" t="s">
        <v>1070</v>
      </c>
      <c r="H129" s="709">
        <v>5017</v>
      </c>
      <c r="I129" s="709" t="s">
        <v>954</v>
      </c>
      <c r="J129" s="709">
        <v>63300030</v>
      </c>
      <c r="K129" s="709" t="s">
        <v>1076</v>
      </c>
      <c r="L129" s="712">
        <v>25229.405521907021</v>
      </c>
      <c r="M129" s="712">
        <v>26660</v>
      </c>
      <c r="N129" s="712">
        <v>26660</v>
      </c>
      <c r="O129" s="712">
        <v>26660</v>
      </c>
      <c r="P129" s="712">
        <v>26943.270941865005</v>
      </c>
    </row>
    <row r="130" spans="1:16" hidden="1">
      <c r="A130" s="709" t="s">
        <v>397</v>
      </c>
      <c r="B130" s="709" t="s">
        <v>673</v>
      </c>
      <c r="C130" s="709" t="s">
        <v>987</v>
      </c>
      <c r="D130" s="709" t="s">
        <v>988</v>
      </c>
      <c r="E130" s="709" t="s">
        <v>989</v>
      </c>
      <c r="F130" s="709" t="s">
        <v>990</v>
      </c>
      <c r="G130" s="709" t="s">
        <v>1070</v>
      </c>
      <c r="H130" s="709">
        <v>5009</v>
      </c>
      <c r="I130" s="709" t="s">
        <v>991</v>
      </c>
      <c r="J130" s="709">
        <v>63300030</v>
      </c>
      <c r="K130" s="709" t="s">
        <v>1076</v>
      </c>
      <c r="L130" s="712">
        <v>23526.941135788838</v>
      </c>
      <c r="M130" s="712">
        <v>24861</v>
      </c>
      <c r="N130" s="712">
        <v>24861</v>
      </c>
      <c r="O130" s="712">
        <v>24861</v>
      </c>
      <c r="P130" s="712">
        <v>25125.155997213275</v>
      </c>
    </row>
    <row r="131" spans="1:16" hidden="1">
      <c r="A131" s="709" t="s">
        <v>404</v>
      </c>
      <c r="B131" s="709" t="s">
        <v>673</v>
      </c>
      <c r="C131" s="709" t="s">
        <v>992</v>
      </c>
      <c r="D131" s="709" t="s">
        <v>993</v>
      </c>
      <c r="E131" s="709" t="s">
        <v>994</v>
      </c>
      <c r="F131" s="709" t="s">
        <v>995</v>
      </c>
      <c r="G131" s="709" t="s">
        <v>1070</v>
      </c>
      <c r="H131" s="709">
        <v>5009</v>
      </c>
      <c r="I131" s="709" t="s">
        <v>991</v>
      </c>
      <c r="J131" s="709">
        <v>63300030</v>
      </c>
      <c r="K131" s="709" t="s">
        <v>1076</v>
      </c>
      <c r="L131" s="712">
        <v>5837.0207524051957</v>
      </c>
      <c r="M131" s="712">
        <v>6168</v>
      </c>
      <c r="N131" s="712">
        <v>6168</v>
      </c>
      <c r="O131" s="712">
        <v>6168</v>
      </c>
      <c r="P131" s="712">
        <v>6233.5369530916487</v>
      </c>
    </row>
    <row r="132" spans="1:16" hidden="1">
      <c r="A132" s="709" t="s">
        <v>542</v>
      </c>
      <c r="B132" s="709" t="s">
        <v>673</v>
      </c>
      <c r="C132" s="709" t="s">
        <v>1000</v>
      </c>
      <c r="D132" s="709" t="s">
        <v>1001</v>
      </c>
      <c r="E132" s="709" t="s">
        <v>1002</v>
      </c>
      <c r="F132" s="709" t="s">
        <v>1003</v>
      </c>
      <c r="G132" s="709" t="s">
        <v>1070</v>
      </c>
      <c r="H132" s="709">
        <v>5009</v>
      </c>
      <c r="I132" s="709" t="s">
        <v>991</v>
      </c>
      <c r="J132" s="709">
        <v>63300030</v>
      </c>
      <c r="K132" s="709" t="s">
        <v>1076</v>
      </c>
      <c r="L132" s="712">
        <v>2833.3398399320945</v>
      </c>
      <c r="M132" s="712">
        <v>2994.0000000000005</v>
      </c>
      <c r="N132" s="712">
        <v>2994.0000000000005</v>
      </c>
      <c r="O132" s="712">
        <v>2994.0000000000005</v>
      </c>
      <c r="P132" s="712">
        <v>3025.8121980474057</v>
      </c>
    </row>
    <row r="133" spans="1:16" hidden="1">
      <c r="A133" s="709" t="s">
        <v>542</v>
      </c>
      <c r="B133" s="709" t="s">
        <v>673</v>
      </c>
      <c r="C133" s="709" t="s">
        <v>1012</v>
      </c>
      <c r="D133" s="709" t="s">
        <v>1013</v>
      </c>
      <c r="E133" s="709" t="s">
        <v>1014</v>
      </c>
      <c r="F133" s="709" t="s">
        <v>1015</v>
      </c>
      <c r="G133" s="709" t="s">
        <v>1070</v>
      </c>
      <c r="H133" s="709">
        <v>5009</v>
      </c>
      <c r="I133" s="709" t="s">
        <v>991</v>
      </c>
      <c r="J133" s="709">
        <v>63300030</v>
      </c>
      <c r="K133" s="709" t="s">
        <v>1076</v>
      </c>
      <c r="L133" s="712">
        <v>15107.36045580359</v>
      </c>
      <c r="M133" s="712">
        <v>15964</v>
      </c>
      <c r="N133" s="712">
        <v>15964</v>
      </c>
      <c r="O133" s="712">
        <v>15964</v>
      </c>
      <c r="P133" s="712">
        <v>16133.622554986232</v>
      </c>
    </row>
    <row r="134" spans="1:16" hidden="1">
      <c r="A134" s="709" t="s">
        <v>400</v>
      </c>
      <c r="B134" s="709" t="s">
        <v>673</v>
      </c>
      <c r="C134" s="709" t="s">
        <v>1032</v>
      </c>
      <c r="D134" s="709" t="s">
        <v>1033</v>
      </c>
      <c r="E134" s="709" t="s">
        <v>1034</v>
      </c>
      <c r="F134" s="709" t="s">
        <v>1035</v>
      </c>
      <c r="G134" s="709" t="s">
        <v>1070</v>
      </c>
      <c r="H134" s="709">
        <v>5009</v>
      </c>
      <c r="I134" s="709" t="s">
        <v>991</v>
      </c>
      <c r="J134" s="709">
        <v>63300030</v>
      </c>
      <c r="K134" s="709" t="s">
        <v>1076</v>
      </c>
      <c r="L134" s="712">
        <v>19657.359771232281</v>
      </c>
      <c r="M134" s="712">
        <v>20771.999999999996</v>
      </c>
      <c r="N134" s="712">
        <v>20771.999999999996</v>
      </c>
      <c r="O134" s="712">
        <v>20771.999999999996</v>
      </c>
      <c r="P134" s="712">
        <v>20992.709077435102</v>
      </c>
    </row>
    <row r="135" spans="1:16" hidden="1">
      <c r="A135" s="709" t="s">
        <v>541</v>
      </c>
      <c r="B135" s="709" t="s">
        <v>673</v>
      </c>
      <c r="C135" s="709" t="s">
        <v>1044</v>
      </c>
      <c r="D135" s="709" t="s">
        <v>1045</v>
      </c>
      <c r="E135" s="709" t="s">
        <v>1046</v>
      </c>
      <c r="F135" s="709" t="s">
        <v>1047</v>
      </c>
      <c r="G135" s="709" t="s">
        <v>1070</v>
      </c>
      <c r="H135" s="709">
        <v>5009</v>
      </c>
      <c r="I135" s="709" t="s">
        <v>991</v>
      </c>
      <c r="J135" s="709">
        <v>63300030</v>
      </c>
      <c r="K135" s="709" t="s">
        <v>1076</v>
      </c>
      <c r="L135" s="712">
        <v>670.00821866129672</v>
      </c>
      <c r="M135" s="712">
        <v>708</v>
      </c>
      <c r="N135" s="712">
        <v>708</v>
      </c>
      <c r="O135" s="712">
        <v>708</v>
      </c>
      <c r="P135" s="712">
        <v>715.52272418756274</v>
      </c>
    </row>
    <row r="136" spans="1:16" hidden="1">
      <c r="A136" s="709" t="s">
        <v>397</v>
      </c>
      <c r="B136" s="709" t="s">
        <v>1064</v>
      </c>
      <c r="C136" s="709" t="s">
        <v>1065</v>
      </c>
      <c r="D136" s="709" t="s">
        <v>1066</v>
      </c>
      <c r="E136" s="709" t="s">
        <v>1067</v>
      </c>
      <c r="F136" s="709" t="s">
        <v>1068</v>
      </c>
      <c r="G136" s="709" t="s">
        <v>1070</v>
      </c>
      <c r="H136" s="709">
        <v>5008</v>
      </c>
      <c r="I136" s="709" t="s">
        <v>1069</v>
      </c>
      <c r="J136" s="709">
        <v>63300030</v>
      </c>
      <c r="K136" s="709" t="s">
        <v>1076</v>
      </c>
      <c r="L136" s="712">
        <v>17523.455642750407</v>
      </c>
      <c r="M136" s="712">
        <v>18517.096133322342</v>
      </c>
      <c r="N136" s="712">
        <v>18517.096133322342</v>
      </c>
      <c r="O136" s="712">
        <v>18517.096133322342</v>
      </c>
      <c r="P136" s="712">
        <v>18713.846143160717</v>
      </c>
    </row>
    <row r="137" spans="1:16" hidden="1">
      <c r="A137" s="709" t="s">
        <v>133</v>
      </c>
      <c r="B137" s="709" t="s">
        <v>662</v>
      </c>
      <c r="C137" s="709" t="s">
        <v>749</v>
      </c>
      <c r="D137" s="709" t="s">
        <v>750</v>
      </c>
      <c r="E137" s="709" t="s">
        <v>751</v>
      </c>
      <c r="F137" s="709" t="s">
        <v>752</v>
      </c>
      <c r="G137" s="709" t="s">
        <v>753</v>
      </c>
      <c r="H137" s="709">
        <v>5327</v>
      </c>
      <c r="I137" s="709" t="s">
        <v>754</v>
      </c>
      <c r="J137" s="709">
        <v>63300040</v>
      </c>
      <c r="K137" s="709" t="s">
        <v>1109</v>
      </c>
      <c r="L137" s="712">
        <v>37012.313464808503</v>
      </c>
      <c r="M137" s="712">
        <v>39111.039541339502</v>
      </c>
      <c r="N137" s="712">
        <v>40284.370727579684</v>
      </c>
      <c r="O137" s="712">
        <v>41492.901849407084</v>
      </c>
      <c r="P137" s="712">
        <v>41933.777070247059</v>
      </c>
    </row>
    <row r="138" spans="1:16" hidden="1">
      <c r="A138" s="709" t="s">
        <v>133</v>
      </c>
      <c r="B138" s="709" t="s">
        <v>662</v>
      </c>
      <c r="C138" s="709" t="s">
        <v>756</v>
      </c>
      <c r="D138" s="709" t="s">
        <v>757</v>
      </c>
      <c r="E138" s="709" t="s">
        <v>758</v>
      </c>
      <c r="F138" s="709" t="s">
        <v>759</v>
      </c>
      <c r="G138" s="709" t="s">
        <v>753</v>
      </c>
      <c r="H138" s="709">
        <v>5327</v>
      </c>
      <c r="I138" s="709" t="s">
        <v>754</v>
      </c>
      <c r="J138" s="709">
        <v>63300040</v>
      </c>
      <c r="K138" s="709" t="s">
        <v>1109</v>
      </c>
      <c r="L138" s="712">
        <v>3401.0604332676685</v>
      </c>
      <c r="M138" s="712">
        <v>3593.9123128439996</v>
      </c>
      <c r="N138" s="712">
        <v>3701.7296822293197</v>
      </c>
      <c r="O138" s="712">
        <v>3812.781572696199</v>
      </c>
      <c r="P138" s="712">
        <v>3853.2935842199495</v>
      </c>
    </row>
    <row r="139" spans="1:16" hidden="1">
      <c r="A139" s="709" t="s">
        <v>133</v>
      </c>
      <c r="B139" s="709" t="s">
        <v>662</v>
      </c>
      <c r="C139" s="709" t="s">
        <v>760</v>
      </c>
      <c r="D139" s="709" t="s">
        <v>761</v>
      </c>
      <c r="E139" s="709" t="s">
        <v>762</v>
      </c>
      <c r="F139" s="709" t="s">
        <v>763</v>
      </c>
      <c r="G139" s="709" t="s">
        <v>753</v>
      </c>
      <c r="H139" s="709">
        <v>5327</v>
      </c>
      <c r="I139" s="709" t="s">
        <v>754</v>
      </c>
      <c r="J139" s="709">
        <v>63300040</v>
      </c>
      <c r="K139" s="709" t="s">
        <v>1109</v>
      </c>
      <c r="L139" s="712">
        <v>21061.200060135809</v>
      </c>
      <c r="M139" s="712">
        <v>22255.442884521006</v>
      </c>
      <c r="N139" s="712">
        <v>22923.106171056636</v>
      </c>
      <c r="O139" s="712">
        <v>23610.799356188334</v>
      </c>
      <c r="P139" s="712">
        <v>23861.6715756862</v>
      </c>
    </row>
    <row r="140" spans="1:16" hidden="1">
      <c r="A140" s="709" t="s">
        <v>126</v>
      </c>
      <c r="B140" s="709" t="s">
        <v>663</v>
      </c>
      <c r="C140" s="709" t="s">
        <v>764</v>
      </c>
      <c r="D140" s="709" t="s">
        <v>765</v>
      </c>
      <c r="E140" s="709" t="s">
        <v>766</v>
      </c>
      <c r="F140" s="709" t="s">
        <v>767</v>
      </c>
      <c r="G140" s="709" t="s">
        <v>753</v>
      </c>
      <c r="H140" s="709">
        <v>5325</v>
      </c>
      <c r="I140" s="709" t="s">
        <v>768</v>
      </c>
      <c r="J140" s="709">
        <v>63300040</v>
      </c>
      <c r="K140" s="709" t="s">
        <v>1109</v>
      </c>
      <c r="L140" s="712">
        <v>32433.09682023152</v>
      </c>
      <c r="M140" s="712">
        <v>34272.165488662475</v>
      </c>
      <c r="N140" s="712">
        <v>35300.330453322349</v>
      </c>
      <c r="O140" s="712">
        <v>36359.340366922021</v>
      </c>
      <c r="P140" s="712">
        <v>36745.669871472972</v>
      </c>
    </row>
    <row r="141" spans="1:16" hidden="1">
      <c r="A141" s="709" t="s">
        <v>126</v>
      </c>
      <c r="B141" s="709" t="s">
        <v>663</v>
      </c>
      <c r="C141" s="709" t="s">
        <v>769</v>
      </c>
      <c r="D141" s="709" t="s">
        <v>770</v>
      </c>
      <c r="E141" s="709" t="s">
        <v>771</v>
      </c>
      <c r="F141" s="709" t="s">
        <v>772</v>
      </c>
      <c r="G141" s="709" t="s">
        <v>753</v>
      </c>
      <c r="H141" s="709">
        <v>5325</v>
      </c>
      <c r="I141" s="709" t="s">
        <v>768</v>
      </c>
      <c r="J141" s="709">
        <v>63300040</v>
      </c>
      <c r="K141" s="709" t="s">
        <v>1109</v>
      </c>
      <c r="L141" s="712">
        <v>12951.827972271605</v>
      </c>
      <c r="M141" s="712">
        <v>13686.241375800004</v>
      </c>
      <c r="N141" s="712">
        <v>14096.828617074005</v>
      </c>
      <c r="O141" s="712">
        <v>14519.733475586223</v>
      </c>
      <c r="P141" s="712">
        <v>14674.010241424863</v>
      </c>
    </row>
    <row r="142" spans="1:16" hidden="1">
      <c r="A142" s="709" t="s">
        <v>127</v>
      </c>
      <c r="B142" s="709" t="s">
        <v>663</v>
      </c>
      <c r="C142" s="709" t="s">
        <v>773</v>
      </c>
      <c r="D142" s="709" t="s">
        <v>774</v>
      </c>
      <c r="E142" s="709" t="s">
        <v>775</v>
      </c>
      <c r="F142" s="709" t="s">
        <v>776</v>
      </c>
      <c r="G142" s="709" t="s">
        <v>753</v>
      </c>
      <c r="H142" s="709">
        <v>5325</v>
      </c>
      <c r="I142" s="709" t="s">
        <v>768</v>
      </c>
      <c r="J142" s="709">
        <v>63300040</v>
      </c>
      <c r="K142" s="709" t="s">
        <v>1109</v>
      </c>
      <c r="L142" s="712">
        <v>32433.09682025142</v>
      </c>
      <c r="M142" s="712">
        <v>34272.165488683502</v>
      </c>
      <c r="N142" s="712">
        <v>35300.33045334401</v>
      </c>
      <c r="O142" s="712">
        <v>36359.340366944329</v>
      </c>
      <c r="P142" s="712">
        <v>36745.669871495513</v>
      </c>
    </row>
    <row r="143" spans="1:16" hidden="1">
      <c r="A143" s="709" t="s">
        <v>127</v>
      </c>
      <c r="B143" s="709" t="s">
        <v>663</v>
      </c>
      <c r="C143" s="709" t="s">
        <v>777</v>
      </c>
      <c r="D143" s="709" t="s">
        <v>778</v>
      </c>
      <c r="E143" s="709" t="s">
        <v>779</v>
      </c>
      <c r="F143" s="709" t="s">
        <v>780</v>
      </c>
      <c r="G143" s="709" t="s">
        <v>753</v>
      </c>
      <c r="H143" s="709">
        <v>5325</v>
      </c>
      <c r="I143" s="709" t="s">
        <v>768</v>
      </c>
      <c r="J143" s="709">
        <v>63300040</v>
      </c>
      <c r="K143" s="709" t="s">
        <v>1109</v>
      </c>
      <c r="L143" s="712">
        <v>12869.367149872176</v>
      </c>
      <c r="M143" s="712">
        <v>13599.104739811501</v>
      </c>
      <c r="N143" s="712">
        <v>14007.077882005846</v>
      </c>
      <c r="O143" s="712">
        <v>14427.290218466022</v>
      </c>
      <c r="P143" s="712">
        <v>14580.584745425685</v>
      </c>
    </row>
    <row r="144" spans="1:16" hidden="1">
      <c r="A144" s="709" t="s">
        <v>406</v>
      </c>
      <c r="B144" s="709" t="s">
        <v>664</v>
      </c>
      <c r="C144" s="709" t="s">
        <v>781</v>
      </c>
      <c r="D144" s="709" t="s">
        <v>782</v>
      </c>
      <c r="E144" s="709" t="s">
        <v>783</v>
      </c>
      <c r="F144" s="709" t="s">
        <v>784</v>
      </c>
      <c r="G144" s="709" t="s">
        <v>753</v>
      </c>
      <c r="H144" s="709">
        <v>5240</v>
      </c>
      <c r="I144" s="709" t="s">
        <v>785</v>
      </c>
      <c r="J144" s="709">
        <v>63300040</v>
      </c>
      <c r="K144" s="709" t="s">
        <v>1109</v>
      </c>
      <c r="L144" s="712">
        <v>21701.491748139448</v>
      </c>
      <c r="M144" s="712">
        <v>22932.041323883946</v>
      </c>
      <c r="N144" s="712">
        <v>23620.002563600461</v>
      </c>
      <c r="O144" s="712">
        <v>24328.602640508478</v>
      </c>
      <c r="P144" s="712">
        <v>24587.10174719401</v>
      </c>
    </row>
    <row r="145" spans="1:16" hidden="1">
      <c r="A145" s="709" t="s">
        <v>406</v>
      </c>
      <c r="B145" s="709" t="s">
        <v>664</v>
      </c>
      <c r="C145" s="709" t="s">
        <v>786</v>
      </c>
      <c r="D145" s="709" t="s">
        <v>787</v>
      </c>
      <c r="E145" s="709" t="s">
        <v>788</v>
      </c>
      <c r="F145" s="709" t="s">
        <v>789</v>
      </c>
      <c r="G145" s="709" t="s">
        <v>753</v>
      </c>
      <c r="H145" s="709">
        <v>5240</v>
      </c>
      <c r="I145" s="709" t="s">
        <v>785</v>
      </c>
      <c r="J145" s="709">
        <v>63300040</v>
      </c>
      <c r="K145" s="709" t="s">
        <v>1109</v>
      </c>
      <c r="L145" s="712">
        <v>53181.550805199578</v>
      </c>
      <c r="M145" s="712">
        <v>56197.128514800279</v>
      </c>
      <c r="N145" s="712">
        <v>57883.042370244286</v>
      </c>
      <c r="O145" s="712">
        <v>59619.533641351612</v>
      </c>
      <c r="P145" s="712">
        <v>60253.010064762639</v>
      </c>
    </row>
    <row r="146" spans="1:16" hidden="1">
      <c r="A146" s="709" t="s">
        <v>406</v>
      </c>
      <c r="B146" s="709" t="s">
        <v>664</v>
      </c>
      <c r="C146" s="709" t="s">
        <v>790</v>
      </c>
      <c r="D146" s="709" t="s">
        <v>791</v>
      </c>
      <c r="E146" s="709" t="s">
        <v>792</v>
      </c>
      <c r="F146" s="709" t="s">
        <v>793</v>
      </c>
      <c r="G146" s="709" t="s">
        <v>753</v>
      </c>
      <c r="H146" s="709">
        <v>5240</v>
      </c>
      <c r="I146" s="709" t="s">
        <v>785</v>
      </c>
      <c r="J146" s="709">
        <v>63300040</v>
      </c>
      <c r="K146" s="709" t="s">
        <v>1109</v>
      </c>
      <c r="L146" s="712">
        <v>21291.766088882217</v>
      </c>
      <c r="M146" s="712">
        <v>22499.082803862028</v>
      </c>
      <c r="N146" s="712">
        <v>23174.055287977888</v>
      </c>
      <c r="O146" s="712">
        <v>23869.276946617229</v>
      </c>
      <c r="P146" s="712">
        <v>24122.895572360099</v>
      </c>
    </row>
    <row r="147" spans="1:16" hidden="1">
      <c r="A147" s="709" t="s">
        <v>406</v>
      </c>
      <c r="B147" s="709" t="s">
        <v>664</v>
      </c>
      <c r="C147" s="709" t="s">
        <v>794</v>
      </c>
      <c r="D147" s="709" t="s">
        <v>795</v>
      </c>
      <c r="E147" s="709" t="s">
        <v>796</v>
      </c>
      <c r="F147" s="709" t="s">
        <v>797</v>
      </c>
      <c r="G147" s="709" t="s">
        <v>753</v>
      </c>
      <c r="H147" s="709">
        <v>5240</v>
      </c>
      <c r="I147" s="709" t="s">
        <v>785</v>
      </c>
      <c r="J147" s="709">
        <v>63300040</v>
      </c>
      <c r="K147" s="709" t="s">
        <v>1109</v>
      </c>
      <c r="L147" s="712">
        <v>16498.074712441088</v>
      </c>
      <c r="M147" s="712">
        <v>17433.572560866</v>
      </c>
      <c r="N147" s="712">
        <v>17956.57973769198</v>
      </c>
      <c r="O147" s="712">
        <v>18495.277129822738</v>
      </c>
      <c r="P147" s="712">
        <v>18691.795305839962</v>
      </c>
    </row>
    <row r="148" spans="1:16" hidden="1">
      <c r="A148" s="709" t="s">
        <v>406</v>
      </c>
      <c r="B148" s="709" t="s">
        <v>664</v>
      </c>
      <c r="C148" s="709" t="s">
        <v>798</v>
      </c>
      <c r="D148" s="709" t="s">
        <v>799</v>
      </c>
      <c r="E148" s="709" t="s">
        <v>800</v>
      </c>
      <c r="F148" s="709" t="s">
        <v>801</v>
      </c>
      <c r="G148" s="709" t="s">
        <v>753</v>
      </c>
      <c r="H148" s="709">
        <v>5240</v>
      </c>
      <c r="I148" s="709" t="s">
        <v>785</v>
      </c>
      <c r="J148" s="709">
        <v>63300040</v>
      </c>
      <c r="K148" s="709" t="s">
        <v>1109</v>
      </c>
      <c r="L148" s="712">
        <v>62825.617857391378</v>
      </c>
      <c r="M148" s="712">
        <v>66388.04749575608</v>
      </c>
      <c r="N148" s="712">
        <v>68379.688920628774</v>
      </c>
      <c r="O148" s="712">
        <v>70431.079588247638</v>
      </c>
      <c r="P148" s="712">
        <v>71179.432110810725</v>
      </c>
    </row>
    <row r="149" spans="1:16" hidden="1">
      <c r="A149" s="709" t="s">
        <v>593</v>
      </c>
      <c r="B149" s="709" t="s">
        <v>665</v>
      </c>
      <c r="C149" s="709" t="s">
        <v>802</v>
      </c>
      <c r="D149" s="709" t="s">
        <v>803</v>
      </c>
      <c r="E149" s="709" t="s">
        <v>804</v>
      </c>
      <c r="F149" s="709" t="s">
        <v>805</v>
      </c>
      <c r="G149" s="709" t="s">
        <v>753</v>
      </c>
      <c r="H149" s="709">
        <v>5150</v>
      </c>
      <c r="I149" s="709" t="s">
        <v>806</v>
      </c>
      <c r="J149" s="709">
        <v>63300040</v>
      </c>
      <c r="K149" s="709" t="s">
        <v>1109</v>
      </c>
      <c r="L149" s="712">
        <v>37885.625087565233</v>
      </c>
      <c r="M149" s="712">
        <v>40033.870951000659</v>
      </c>
      <c r="N149" s="712">
        <v>41234.887079530687</v>
      </c>
      <c r="O149" s="712">
        <v>42471.933691916594</v>
      </c>
      <c r="P149" s="712">
        <v>42923.211436092781</v>
      </c>
    </row>
    <row r="150" spans="1:16" hidden="1">
      <c r="A150" s="709" t="s">
        <v>593</v>
      </c>
      <c r="B150" s="709" t="s">
        <v>665</v>
      </c>
      <c r="C150" s="709" t="s">
        <v>807</v>
      </c>
      <c r="D150" s="709" t="s">
        <v>808</v>
      </c>
      <c r="E150" s="709" t="s">
        <v>809</v>
      </c>
      <c r="F150" s="709" t="s">
        <v>810</v>
      </c>
      <c r="G150" s="709" t="s">
        <v>753</v>
      </c>
      <c r="H150" s="709">
        <v>5150</v>
      </c>
      <c r="I150" s="709" t="s">
        <v>806</v>
      </c>
      <c r="J150" s="709">
        <v>63300040</v>
      </c>
      <c r="K150" s="709" t="s">
        <v>1109</v>
      </c>
      <c r="L150" s="712">
        <v>88389.170298609737</v>
      </c>
      <c r="M150" s="712">
        <v>93401.141700100488</v>
      </c>
      <c r="N150" s="712">
        <v>96203.175951103505</v>
      </c>
      <c r="O150" s="712">
        <v>99089.271229636608</v>
      </c>
      <c r="P150" s="712">
        <v>100142.12611298004</v>
      </c>
    </row>
    <row r="151" spans="1:16" hidden="1">
      <c r="A151" s="709" t="s">
        <v>593</v>
      </c>
      <c r="B151" s="709" t="s">
        <v>665</v>
      </c>
      <c r="C151" s="709" t="s">
        <v>811</v>
      </c>
      <c r="D151" s="709" t="s">
        <v>812</v>
      </c>
      <c r="E151" s="709" t="s">
        <v>813</v>
      </c>
      <c r="F151" s="709" t="s">
        <v>814</v>
      </c>
      <c r="G151" s="709" t="s">
        <v>753</v>
      </c>
      <c r="H151" s="709">
        <v>5150</v>
      </c>
      <c r="I151" s="709" t="s">
        <v>806</v>
      </c>
      <c r="J151" s="709">
        <v>63300040</v>
      </c>
      <c r="K151" s="709" t="s">
        <v>1109</v>
      </c>
      <c r="L151" s="712">
        <v>5554.3357579319636</v>
      </c>
      <c r="M151" s="712">
        <v>5869.2857894684666</v>
      </c>
      <c r="N151" s="712">
        <v>6045.364363152521</v>
      </c>
      <c r="O151" s="712">
        <v>6226.7252940470971</v>
      </c>
      <c r="P151" s="712">
        <v>6292.8862219833072</v>
      </c>
    </row>
    <row r="152" spans="1:16" hidden="1">
      <c r="A152" s="709" t="s">
        <v>593</v>
      </c>
      <c r="B152" s="709" t="s">
        <v>665</v>
      </c>
      <c r="C152" s="709" t="s">
        <v>815</v>
      </c>
      <c r="D152" s="709" t="s">
        <v>816</v>
      </c>
      <c r="E152" s="709" t="s">
        <v>817</v>
      </c>
      <c r="F152" s="709" t="s">
        <v>818</v>
      </c>
      <c r="G152" s="709" t="s">
        <v>753</v>
      </c>
      <c r="H152" s="709">
        <v>5150</v>
      </c>
      <c r="I152" s="709" t="s">
        <v>806</v>
      </c>
      <c r="J152" s="709">
        <v>63300040</v>
      </c>
      <c r="K152" s="709" t="s">
        <v>1109</v>
      </c>
      <c r="L152" s="712">
        <v>134359.35449713696</v>
      </c>
      <c r="M152" s="712">
        <v>141977.99420138364</v>
      </c>
      <c r="N152" s="712">
        <v>146237.33402742515</v>
      </c>
      <c r="O152" s="712">
        <v>150624.45404824789</v>
      </c>
      <c r="P152" s="712">
        <v>152224.88656760834</v>
      </c>
    </row>
    <row r="153" spans="1:16" hidden="1">
      <c r="A153" s="709" t="s">
        <v>593</v>
      </c>
      <c r="B153" s="709" t="s">
        <v>665</v>
      </c>
      <c r="C153" s="709" t="s">
        <v>819</v>
      </c>
      <c r="D153" s="709" t="s">
        <v>820</v>
      </c>
      <c r="E153" s="709" t="s">
        <v>821</v>
      </c>
      <c r="F153" s="709" t="s">
        <v>822</v>
      </c>
      <c r="G153" s="709" t="s">
        <v>753</v>
      </c>
      <c r="H153" s="709">
        <v>5150</v>
      </c>
      <c r="I153" s="709" t="s">
        <v>806</v>
      </c>
      <c r="J153" s="709">
        <v>63300040</v>
      </c>
      <c r="K153" s="709" t="s">
        <v>1109</v>
      </c>
      <c r="L153" s="712">
        <v>115509.96305325716</v>
      </c>
      <c r="M153" s="712">
        <v>122059.77712498496</v>
      </c>
      <c r="N153" s="712">
        <v>125721.5704387345</v>
      </c>
      <c r="O153" s="712">
        <v>129493.21755189655</v>
      </c>
      <c r="P153" s="712">
        <v>130869.12399229624</v>
      </c>
    </row>
    <row r="154" spans="1:16" hidden="1">
      <c r="A154" s="709" t="s">
        <v>593</v>
      </c>
      <c r="B154" s="709" t="s">
        <v>666</v>
      </c>
      <c r="C154" s="709" t="s">
        <v>823</v>
      </c>
      <c r="D154" s="709" t="s">
        <v>824</v>
      </c>
      <c r="E154" s="709" t="s">
        <v>825</v>
      </c>
      <c r="F154" s="709" t="s">
        <v>826</v>
      </c>
      <c r="G154" s="709" t="s">
        <v>753</v>
      </c>
      <c r="H154" s="709">
        <v>5031</v>
      </c>
      <c r="I154" s="709" t="s">
        <v>827</v>
      </c>
      <c r="J154" s="709">
        <v>63300040</v>
      </c>
      <c r="K154" s="709" t="s">
        <v>1109</v>
      </c>
      <c r="L154" s="712">
        <v>42124.48902026537</v>
      </c>
      <c r="M154" s="712">
        <v>44513.093116884003</v>
      </c>
      <c r="N154" s="712">
        <v>45848.485910390526</v>
      </c>
      <c r="O154" s="712">
        <v>47223.940487702239</v>
      </c>
      <c r="P154" s="712">
        <v>47725.709808802327</v>
      </c>
    </row>
    <row r="155" spans="1:16" hidden="1">
      <c r="A155" s="709" t="s">
        <v>397</v>
      </c>
      <c r="B155" s="709" t="s">
        <v>666</v>
      </c>
      <c r="C155" s="709" t="s">
        <v>828</v>
      </c>
      <c r="D155" s="709" t="s">
        <v>829</v>
      </c>
      <c r="E155" s="709" t="s">
        <v>830</v>
      </c>
      <c r="F155" s="709" t="s">
        <v>831</v>
      </c>
      <c r="G155" s="709" t="s">
        <v>753</v>
      </c>
      <c r="H155" s="709">
        <v>5031</v>
      </c>
      <c r="I155" s="709" t="s">
        <v>827</v>
      </c>
      <c r="J155" s="709">
        <v>63300040</v>
      </c>
      <c r="K155" s="709" t="s">
        <v>1109</v>
      </c>
      <c r="L155" s="712">
        <v>5814.8086518798109</v>
      </c>
      <c r="M155" s="712">
        <v>6144.5283966166953</v>
      </c>
      <c r="N155" s="712">
        <v>6328.8642485151968</v>
      </c>
      <c r="O155" s="712">
        <v>6518.7301759706515</v>
      </c>
      <c r="P155" s="712">
        <v>6587.993748240383</v>
      </c>
    </row>
    <row r="156" spans="1:16" hidden="1">
      <c r="A156" s="709" t="s">
        <v>593</v>
      </c>
      <c r="B156" s="709" t="s">
        <v>666</v>
      </c>
      <c r="C156" s="709" t="s">
        <v>832</v>
      </c>
      <c r="D156" s="709" t="s">
        <v>833</v>
      </c>
      <c r="E156" s="709" t="s">
        <v>834</v>
      </c>
      <c r="F156" s="709" t="s">
        <v>835</v>
      </c>
      <c r="G156" s="709" t="s">
        <v>753</v>
      </c>
      <c r="H156" s="709">
        <v>5031</v>
      </c>
      <c r="I156" s="709" t="s">
        <v>827</v>
      </c>
      <c r="J156" s="709">
        <v>63300040</v>
      </c>
      <c r="K156" s="709" t="s">
        <v>1109</v>
      </c>
      <c r="L156" s="712">
        <v>7861.2650677978745</v>
      </c>
      <c r="M156" s="712">
        <v>8307.0259632359994</v>
      </c>
      <c r="N156" s="712">
        <v>8556.23674213308</v>
      </c>
      <c r="O156" s="712">
        <v>8812.9238443970717</v>
      </c>
      <c r="P156" s="712">
        <v>8906.5639508481945</v>
      </c>
    </row>
    <row r="157" spans="1:16" hidden="1">
      <c r="A157" s="709" t="s">
        <v>398</v>
      </c>
      <c r="B157" s="709" t="s">
        <v>667</v>
      </c>
      <c r="C157" s="709" t="s">
        <v>836</v>
      </c>
      <c r="D157" s="709" t="s">
        <v>837</v>
      </c>
      <c r="E157" s="709" t="s">
        <v>838</v>
      </c>
      <c r="F157" s="709" t="s">
        <v>839</v>
      </c>
      <c r="G157" s="709" t="s">
        <v>753</v>
      </c>
      <c r="H157" s="709">
        <v>5025</v>
      </c>
      <c r="I157" s="709" t="s">
        <v>840</v>
      </c>
      <c r="J157" s="709">
        <v>63300040</v>
      </c>
      <c r="K157" s="709" t="s">
        <v>1109</v>
      </c>
      <c r="L157" s="712">
        <v>42175.25757893399</v>
      </c>
      <c r="M157" s="712">
        <v>44566.740428269528</v>
      </c>
      <c r="N157" s="712">
        <v>45903.742641117613</v>
      </c>
      <c r="O157" s="712">
        <v>47280.854920351143</v>
      </c>
      <c r="P157" s="712">
        <v>47783.228975320031</v>
      </c>
    </row>
    <row r="158" spans="1:16" hidden="1">
      <c r="A158" s="709" t="s">
        <v>398</v>
      </c>
      <c r="B158" s="709" t="s">
        <v>667</v>
      </c>
      <c r="C158" s="709" t="s">
        <v>841</v>
      </c>
      <c r="D158" s="709" t="s">
        <v>842</v>
      </c>
      <c r="E158" s="709" t="s">
        <v>843</v>
      </c>
      <c r="F158" s="709" t="s">
        <v>844</v>
      </c>
      <c r="G158" s="709" t="s">
        <v>753</v>
      </c>
      <c r="H158" s="709">
        <v>5025</v>
      </c>
      <c r="I158" s="709" t="s">
        <v>840</v>
      </c>
      <c r="J158" s="709">
        <v>63300040</v>
      </c>
      <c r="K158" s="709" t="s">
        <v>1109</v>
      </c>
      <c r="L158" s="712">
        <v>1085.0805880335113</v>
      </c>
      <c r="M158" s="712">
        <v>1146.6084070769973</v>
      </c>
      <c r="N158" s="712">
        <v>1181.0066592893074</v>
      </c>
      <c r="O158" s="712">
        <v>1216.4368590679867</v>
      </c>
      <c r="P158" s="712">
        <v>1229.3618858792206</v>
      </c>
    </row>
    <row r="159" spans="1:16" hidden="1">
      <c r="A159" s="709" t="s">
        <v>398</v>
      </c>
      <c r="B159" s="709" t="s">
        <v>667</v>
      </c>
      <c r="C159" s="709" t="s">
        <v>845</v>
      </c>
      <c r="D159" s="709" t="s">
        <v>846</v>
      </c>
      <c r="E159" s="709" t="s">
        <v>847</v>
      </c>
      <c r="F159" s="709" t="s">
        <v>848</v>
      </c>
      <c r="G159" s="709" t="s">
        <v>753</v>
      </c>
      <c r="H159" s="709">
        <v>5025</v>
      </c>
      <c r="I159" s="709" t="s">
        <v>840</v>
      </c>
      <c r="J159" s="709">
        <v>63300040</v>
      </c>
      <c r="K159" s="709" t="s">
        <v>1109</v>
      </c>
      <c r="L159" s="712">
        <v>1065.3751601735278</v>
      </c>
      <c r="M159" s="712">
        <v>1125.7856133615055</v>
      </c>
      <c r="N159" s="712">
        <v>1159.5591817623506</v>
      </c>
      <c r="O159" s="712">
        <v>1194.3459572152212</v>
      </c>
      <c r="P159" s="712">
        <v>1207.0362611992052</v>
      </c>
    </row>
    <row r="160" spans="1:16" hidden="1">
      <c r="A160" s="709" t="s">
        <v>398</v>
      </c>
      <c r="B160" s="709" t="s">
        <v>667</v>
      </c>
      <c r="C160" s="709" t="s">
        <v>849</v>
      </c>
      <c r="D160" s="709" t="s">
        <v>850</v>
      </c>
      <c r="E160" s="709" t="s">
        <v>851</v>
      </c>
      <c r="F160" s="709" t="s">
        <v>852</v>
      </c>
      <c r="G160" s="709" t="s">
        <v>753</v>
      </c>
      <c r="H160" s="709">
        <v>5025</v>
      </c>
      <c r="I160" s="709" t="s">
        <v>840</v>
      </c>
      <c r="J160" s="709">
        <v>63300040</v>
      </c>
      <c r="K160" s="709" t="s">
        <v>1109</v>
      </c>
      <c r="L160" s="712">
        <v>10953.809360475223</v>
      </c>
      <c r="M160" s="712">
        <v>11574.92820418211</v>
      </c>
      <c r="N160" s="712">
        <v>11922.176050307573</v>
      </c>
      <c r="O160" s="712">
        <v>12279.841331816799</v>
      </c>
      <c r="P160" s="712">
        <v>12410.318534368058</v>
      </c>
    </row>
    <row r="161" spans="1:16" hidden="1">
      <c r="A161" s="709" t="s">
        <v>398</v>
      </c>
      <c r="B161" s="709" t="s">
        <v>667</v>
      </c>
      <c r="C161" s="709" t="s">
        <v>853</v>
      </c>
      <c r="D161" s="709" t="s">
        <v>854</v>
      </c>
      <c r="E161" s="709" t="s">
        <v>855</v>
      </c>
      <c r="F161" s="709" t="s">
        <v>856</v>
      </c>
      <c r="G161" s="709" t="s">
        <v>753</v>
      </c>
      <c r="H161" s="709">
        <v>5025</v>
      </c>
      <c r="I161" s="709" t="s">
        <v>840</v>
      </c>
      <c r="J161" s="709">
        <v>63300040</v>
      </c>
      <c r="K161" s="709" t="s">
        <v>1109</v>
      </c>
      <c r="L161" s="712">
        <v>1253.3896759208317</v>
      </c>
      <c r="M161" s="712">
        <v>1324.4612018715372</v>
      </c>
      <c r="N161" s="712">
        <v>1364.1950379276832</v>
      </c>
      <c r="O161" s="712">
        <v>1405.1208890655137</v>
      </c>
      <c r="P161" s="712">
        <v>1420.0507434420995</v>
      </c>
    </row>
    <row r="162" spans="1:16" hidden="1">
      <c r="A162" s="709" t="s">
        <v>398</v>
      </c>
      <c r="B162" s="709" t="s">
        <v>667</v>
      </c>
      <c r="C162" s="709" t="s">
        <v>857</v>
      </c>
      <c r="D162" s="709" t="s">
        <v>858</v>
      </c>
      <c r="E162" s="709" t="s">
        <v>859</v>
      </c>
      <c r="F162" s="709" t="s">
        <v>860</v>
      </c>
      <c r="G162" s="709" t="s">
        <v>753</v>
      </c>
      <c r="H162" s="709">
        <v>5025</v>
      </c>
      <c r="I162" s="709" t="s">
        <v>840</v>
      </c>
      <c r="J162" s="709">
        <v>63300040</v>
      </c>
      <c r="K162" s="709" t="s">
        <v>1109</v>
      </c>
      <c r="L162" s="712">
        <v>12812.337342231747</v>
      </c>
      <c r="M162" s="712">
        <v>13538.841145000531</v>
      </c>
      <c r="N162" s="712">
        <v>13945.006379350547</v>
      </c>
      <c r="O162" s="712">
        <v>14363.356570731064</v>
      </c>
      <c r="P162" s="712">
        <v>14515.971782439012</v>
      </c>
    </row>
    <row r="163" spans="1:16" hidden="1">
      <c r="A163" s="709" t="s">
        <v>398</v>
      </c>
      <c r="B163" s="709" t="s">
        <v>667</v>
      </c>
      <c r="C163" s="709" t="s">
        <v>861</v>
      </c>
      <c r="D163" s="709" t="s">
        <v>862</v>
      </c>
      <c r="E163" s="709" t="s">
        <v>863</v>
      </c>
      <c r="F163" s="709" t="s">
        <v>864</v>
      </c>
      <c r="G163" s="709" t="s">
        <v>753</v>
      </c>
      <c r="H163" s="709">
        <v>5025</v>
      </c>
      <c r="I163" s="709" t="s">
        <v>840</v>
      </c>
      <c r="J163" s="709">
        <v>63300040</v>
      </c>
      <c r="K163" s="709" t="s">
        <v>1109</v>
      </c>
      <c r="L163" s="712">
        <v>93760.044490961867</v>
      </c>
      <c r="M163" s="712">
        <v>99076.563019234483</v>
      </c>
      <c r="N163" s="712">
        <v>102048.85990981152</v>
      </c>
      <c r="O163" s="712">
        <v>105110.32570710586</v>
      </c>
      <c r="P163" s="712">
        <v>106227.1562008339</v>
      </c>
    </row>
    <row r="164" spans="1:16" hidden="1">
      <c r="A164" s="709" t="s">
        <v>398</v>
      </c>
      <c r="B164" s="709" t="s">
        <v>667</v>
      </c>
      <c r="C164" s="709" t="s">
        <v>865</v>
      </c>
      <c r="D164" s="709" t="s">
        <v>866</v>
      </c>
      <c r="E164" s="709" t="s">
        <v>867</v>
      </c>
      <c r="F164" s="709" t="s">
        <v>868</v>
      </c>
      <c r="G164" s="709" t="s">
        <v>753</v>
      </c>
      <c r="H164" s="709">
        <v>5025</v>
      </c>
      <c r="I164" s="709" t="s">
        <v>840</v>
      </c>
      <c r="J164" s="709">
        <v>63300040</v>
      </c>
      <c r="K164" s="709" t="s">
        <v>1109</v>
      </c>
      <c r="L164" s="712">
        <v>1107.0181233857245</v>
      </c>
      <c r="M164" s="712">
        <v>1169.7898764929994</v>
      </c>
      <c r="N164" s="712">
        <v>1204.8835727877893</v>
      </c>
      <c r="O164" s="712">
        <v>1241.0300799714232</v>
      </c>
      <c r="P164" s="712">
        <v>1254.2164175421774</v>
      </c>
    </row>
    <row r="165" spans="1:16" hidden="1">
      <c r="A165" s="709" t="s">
        <v>398</v>
      </c>
      <c r="B165" s="709" t="s">
        <v>667</v>
      </c>
      <c r="C165" s="709" t="s">
        <v>869</v>
      </c>
      <c r="D165" s="709" t="s">
        <v>870</v>
      </c>
      <c r="E165" s="709" t="s">
        <v>871</v>
      </c>
      <c r="F165" s="709" t="s">
        <v>872</v>
      </c>
      <c r="G165" s="709" t="s">
        <v>753</v>
      </c>
      <c r="H165" s="709">
        <v>5025</v>
      </c>
      <c r="I165" s="709" t="s">
        <v>840</v>
      </c>
      <c r="J165" s="709">
        <v>63300040</v>
      </c>
      <c r="K165" s="709" t="s">
        <v>1109</v>
      </c>
      <c r="L165" s="712">
        <v>554.62419553685004</v>
      </c>
      <c r="M165" s="712">
        <v>586.07330403299841</v>
      </c>
      <c r="N165" s="712">
        <v>603.65550315398843</v>
      </c>
      <c r="O165" s="712">
        <v>621.76516824860801</v>
      </c>
      <c r="P165" s="712">
        <v>628.37162004263041</v>
      </c>
    </row>
    <row r="166" spans="1:16" hidden="1">
      <c r="A166" s="709" t="s">
        <v>397</v>
      </c>
      <c r="B166" s="709" t="s">
        <v>873</v>
      </c>
      <c r="C166" s="709" t="s">
        <v>874</v>
      </c>
      <c r="D166" s="709" t="s">
        <v>875</v>
      </c>
      <c r="E166" s="709" t="s">
        <v>876</v>
      </c>
      <c r="F166" s="709" t="s">
        <v>877</v>
      </c>
      <c r="G166" s="709" t="s">
        <v>753</v>
      </c>
      <c r="H166" s="709">
        <v>5024</v>
      </c>
      <c r="I166" s="709" t="s">
        <v>878</v>
      </c>
      <c r="J166" s="709">
        <v>63300040</v>
      </c>
      <c r="K166" s="709" t="s">
        <v>1109</v>
      </c>
      <c r="L166" s="712">
        <v>25499.26066528694</v>
      </c>
      <c r="M166" s="712">
        <v>26945.156862545242</v>
      </c>
      <c r="N166" s="712">
        <v>27753.5115684216</v>
      </c>
      <c r="O166" s="712">
        <v>28586.116915474249</v>
      </c>
      <c r="P166" s="712">
        <v>28889.853459469356</v>
      </c>
    </row>
    <row r="167" spans="1:16" hidden="1">
      <c r="A167" s="709" t="s">
        <v>399</v>
      </c>
      <c r="B167" s="709" t="s">
        <v>668</v>
      </c>
      <c r="C167" s="709" t="s">
        <v>879</v>
      </c>
      <c r="D167" s="709" t="s">
        <v>880</v>
      </c>
      <c r="E167" s="709" t="s">
        <v>881</v>
      </c>
      <c r="F167" s="709" t="s">
        <v>882</v>
      </c>
      <c r="G167" s="709" t="s">
        <v>753</v>
      </c>
      <c r="H167" s="709">
        <v>5021</v>
      </c>
      <c r="I167" s="709" t="s">
        <v>883</v>
      </c>
      <c r="J167" s="709">
        <v>63300040</v>
      </c>
      <c r="K167" s="709" t="s">
        <v>1109</v>
      </c>
      <c r="L167" s="712">
        <v>5027.9375261391779</v>
      </c>
      <c r="M167" s="712">
        <v>5313.0389588639973</v>
      </c>
      <c r="N167" s="712">
        <v>5472.4301276299175</v>
      </c>
      <c r="O167" s="712">
        <v>5636.6030314588152</v>
      </c>
      <c r="P167" s="712">
        <v>5696.4937234933413</v>
      </c>
    </row>
    <row r="168" spans="1:16" hidden="1">
      <c r="A168" s="709" t="s">
        <v>399</v>
      </c>
      <c r="B168" s="709" t="s">
        <v>668</v>
      </c>
      <c r="C168" s="709" t="s">
        <v>884</v>
      </c>
      <c r="D168" s="709" t="s">
        <v>885</v>
      </c>
      <c r="E168" s="709" t="s">
        <v>886</v>
      </c>
      <c r="F168" s="709" t="s">
        <v>887</v>
      </c>
      <c r="G168" s="709" t="s">
        <v>753</v>
      </c>
      <c r="H168" s="709">
        <v>5021</v>
      </c>
      <c r="I168" s="709" t="s">
        <v>883</v>
      </c>
      <c r="J168" s="709">
        <v>63300040</v>
      </c>
      <c r="K168" s="709" t="s">
        <v>1109</v>
      </c>
      <c r="L168" s="712">
        <v>16878.288088431305</v>
      </c>
      <c r="M168" s="712">
        <v>17835.345349174371</v>
      </c>
      <c r="N168" s="712">
        <v>18370.405709649604</v>
      </c>
      <c r="O168" s="712">
        <v>18921.517880939093</v>
      </c>
      <c r="P168" s="712">
        <v>19122.564999905677</v>
      </c>
    </row>
    <row r="169" spans="1:16" hidden="1">
      <c r="A169" s="709" t="s">
        <v>399</v>
      </c>
      <c r="B169" s="709" t="s">
        <v>668</v>
      </c>
      <c r="C169" s="709" t="s">
        <v>888</v>
      </c>
      <c r="D169" s="709" t="s">
        <v>889</v>
      </c>
      <c r="E169" s="709" t="s">
        <v>890</v>
      </c>
      <c r="F169" s="709" t="s">
        <v>891</v>
      </c>
      <c r="G169" s="709" t="s">
        <v>753</v>
      </c>
      <c r="H169" s="709">
        <v>5021</v>
      </c>
      <c r="I169" s="709" t="s">
        <v>883</v>
      </c>
      <c r="J169" s="709">
        <v>63300040</v>
      </c>
      <c r="K169" s="709" t="s">
        <v>1109</v>
      </c>
      <c r="L169" s="712">
        <v>10684.366372125869</v>
      </c>
      <c r="M169" s="712">
        <v>11290.206867281944</v>
      </c>
      <c r="N169" s="712">
        <v>11628.913073300402</v>
      </c>
      <c r="O169" s="712">
        <v>11977.780465499418</v>
      </c>
      <c r="P169" s="712">
        <v>12105.048175698754</v>
      </c>
    </row>
    <row r="170" spans="1:16" hidden="1">
      <c r="A170" s="709" t="s">
        <v>399</v>
      </c>
      <c r="B170" s="709" t="s">
        <v>668</v>
      </c>
      <c r="C170" s="709" t="s">
        <v>892</v>
      </c>
      <c r="D170" s="709" t="s">
        <v>893</v>
      </c>
      <c r="E170" s="709" t="s">
        <v>894</v>
      </c>
      <c r="F170" s="709" t="s">
        <v>895</v>
      </c>
      <c r="G170" s="709" t="s">
        <v>753</v>
      </c>
      <c r="H170" s="709">
        <v>5021</v>
      </c>
      <c r="I170" s="709" t="s">
        <v>883</v>
      </c>
      <c r="J170" s="709">
        <v>63300040</v>
      </c>
      <c r="K170" s="709" t="s">
        <v>1109</v>
      </c>
      <c r="L170" s="712">
        <v>97500.637296097106</v>
      </c>
      <c r="M170" s="712">
        <v>103029.26036274951</v>
      </c>
      <c r="N170" s="712">
        <v>106120.138173632</v>
      </c>
      <c r="O170" s="712">
        <v>109303.74231884097</v>
      </c>
      <c r="P170" s="712">
        <v>110465.12919191028</v>
      </c>
    </row>
    <row r="171" spans="1:16" hidden="1">
      <c r="A171" s="709" t="s">
        <v>399</v>
      </c>
      <c r="B171" s="709" t="s">
        <v>668</v>
      </c>
      <c r="C171" s="709" t="s">
        <v>896</v>
      </c>
      <c r="D171" s="709" t="s">
        <v>897</v>
      </c>
      <c r="E171" s="709" t="s">
        <v>898</v>
      </c>
      <c r="F171" s="709" t="s">
        <v>899</v>
      </c>
      <c r="G171" s="709" t="s">
        <v>753</v>
      </c>
      <c r="H171" s="709">
        <v>5021</v>
      </c>
      <c r="I171" s="709" t="s">
        <v>883</v>
      </c>
      <c r="J171" s="709">
        <v>63300040</v>
      </c>
      <c r="K171" s="709" t="s">
        <v>1109</v>
      </c>
      <c r="L171" s="712">
        <v>62401.438508061103</v>
      </c>
      <c r="M171" s="712">
        <v>65939.815711486503</v>
      </c>
      <c r="N171" s="712">
        <v>67918.010182831102</v>
      </c>
      <c r="O171" s="712">
        <v>69955.550488316032</v>
      </c>
      <c r="P171" s="712">
        <v>70698.850363616482</v>
      </c>
    </row>
    <row r="172" spans="1:16" hidden="1">
      <c r="A172" s="709" t="s">
        <v>399</v>
      </c>
      <c r="B172" s="709" t="s">
        <v>668</v>
      </c>
      <c r="C172" s="709" t="s">
        <v>900</v>
      </c>
      <c r="D172" s="709" t="s">
        <v>901</v>
      </c>
      <c r="E172" s="709" t="s">
        <v>902</v>
      </c>
      <c r="F172" s="709" t="s">
        <v>903</v>
      </c>
      <c r="G172" s="709" t="s">
        <v>753</v>
      </c>
      <c r="H172" s="709">
        <v>5021</v>
      </c>
      <c r="I172" s="709" t="s">
        <v>883</v>
      </c>
      <c r="J172" s="709">
        <v>63300040</v>
      </c>
      <c r="K172" s="709" t="s">
        <v>1109</v>
      </c>
      <c r="L172" s="712">
        <v>1240.8729419286055</v>
      </c>
      <c r="M172" s="712">
        <v>1311.234725808001</v>
      </c>
      <c r="N172" s="712">
        <v>1350.5717675822409</v>
      </c>
      <c r="O172" s="712">
        <v>1391.0889206097081</v>
      </c>
      <c r="P172" s="712">
        <v>1405.8696808782408</v>
      </c>
    </row>
    <row r="173" spans="1:16" hidden="1">
      <c r="A173" s="709" t="s">
        <v>407</v>
      </c>
      <c r="B173" s="709" t="s">
        <v>669</v>
      </c>
      <c r="C173" s="709" t="s">
        <v>904</v>
      </c>
      <c r="D173" s="709" t="s">
        <v>905</v>
      </c>
      <c r="E173" s="709" t="s">
        <v>906</v>
      </c>
      <c r="F173" s="709" t="s">
        <v>907</v>
      </c>
      <c r="G173" s="709" t="s">
        <v>753</v>
      </c>
      <c r="H173" s="709">
        <v>5020</v>
      </c>
      <c r="I173" s="709" t="s">
        <v>908</v>
      </c>
      <c r="J173" s="709">
        <v>63300040</v>
      </c>
      <c r="K173" s="709" t="s">
        <v>1109</v>
      </c>
      <c r="L173" s="712">
        <v>42940.736116425716</v>
      </c>
      <c r="M173" s="712">
        <v>45375.624244093458</v>
      </c>
      <c r="N173" s="712">
        <v>46736.892971416266</v>
      </c>
      <c r="O173" s="712">
        <v>48138.999760558756</v>
      </c>
      <c r="P173" s="712">
        <v>48650.491876185639</v>
      </c>
    </row>
    <row r="174" spans="1:16" hidden="1">
      <c r="A174" s="709" t="s">
        <v>405</v>
      </c>
      <c r="B174" s="709" t="s">
        <v>669</v>
      </c>
      <c r="C174" s="709" t="s">
        <v>909</v>
      </c>
      <c r="D174" s="709" t="s">
        <v>910</v>
      </c>
      <c r="E174" s="709" t="s">
        <v>911</v>
      </c>
      <c r="F174" s="709" t="s">
        <v>912</v>
      </c>
      <c r="G174" s="709" t="s">
        <v>753</v>
      </c>
      <c r="H174" s="709">
        <v>5020</v>
      </c>
      <c r="I174" s="709" t="s">
        <v>908</v>
      </c>
      <c r="J174" s="709">
        <v>63300040</v>
      </c>
      <c r="K174" s="709" t="s">
        <v>1109</v>
      </c>
      <c r="L174" s="712">
        <v>9137.5524829852693</v>
      </c>
      <c r="M174" s="712">
        <v>9655.6832853180003</v>
      </c>
      <c r="N174" s="712">
        <v>9945.353783877541</v>
      </c>
      <c r="O174" s="712">
        <v>10243.714397393867</v>
      </c>
      <c r="P174" s="712">
        <v>10352.557106529121</v>
      </c>
    </row>
    <row r="175" spans="1:16" hidden="1">
      <c r="A175" s="709" t="s">
        <v>397</v>
      </c>
      <c r="B175" s="709" t="s">
        <v>669</v>
      </c>
      <c r="C175" s="709" t="s">
        <v>913</v>
      </c>
      <c r="D175" s="709" t="s">
        <v>914</v>
      </c>
      <c r="E175" s="709" t="s">
        <v>915</v>
      </c>
      <c r="F175" s="709" t="s">
        <v>916</v>
      </c>
      <c r="G175" s="709" t="s">
        <v>753</v>
      </c>
      <c r="H175" s="709">
        <v>5020</v>
      </c>
      <c r="I175" s="709" t="s">
        <v>908</v>
      </c>
      <c r="J175" s="709">
        <v>63300040</v>
      </c>
      <c r="K175" s="709" t="s">
        <v>1109</v>
      </c>
      <c r="L175" s="712">
        <v>31318.272456594514</v>
      </c>
      <c r="M175" s="712">
        <v>33094.126731119999</v>
      </c>
      <c r="N175" s="712">
        <v>34086.950533053598</v>
      </c>
      <c r="O175" s="712">
        <v>35109.559049045209</v>
      </c>
      <c r="P175" s="712">
        <v>35482.609231351584</v>
      </c>
    </row>
    <row r="176" spans="1:16" hidden="1">
      <c r="A176" s="709" t="s">
        <v>287</v>
      </c>
      <c r="B176" s="709" t="s">
        <v>670</v>
      </c>
      <c r="C176" s="709" t="s">
        <v>917</v>
      </c>
      <c r="D176" s="709" t="s">
        <v>918</v>
      </c>
      <c r="E176" s="709" t="s">
        <v>919</v>
      </c>
      <c r="F176" s="709" t="s">
        <v>920</v>
      </c>
      <c r="G176" s="709" t="s">
        <v>753</v>
      </c>
      <c r="H176" s="709">
        <v>5019</v>
      </c>
      <c r="I176" s="709" t="s">
        <v>921</v>
      </c>
      <c r="J176" s="709">
        <v>63300040</v>
      </c>
      <c r="K176" s="709" t="s">
        <v>1109</v>
      </c>
      <c r="L176" s="712">
        <v>3924.5360020428961</v>
      </c>
      <c r="M176" s="712">
        <v>4147.070755337998</v>
      </c>
      <c r="N176" s="712">
        <v>4271.4828779981381</v>
      </c>
      <c r="O176" s="712">
        <v>4399.6273643380828</v>
      </c>
      <c r="P176" s="712">
        <v>4446.3747982222203</v>
      </c>
    </row>
    <row r="177" spans="1:16" hidden="1">
      <c r="A177" s="709" t="s">
        <v>287</v>
      </c>
      <c r="B177" s="709" t="s">
        <v>670</v>
      </c>
      <c r="C177" s="709" t="s">
        <v>922</v>
      </c>
      <c r="D177" s="709" t="s">
        <v>923</v>
      </c>
      <c r="E177" s="709" t="s">
        <v>924</v>
      </c>
      <c r="F177" s="709" t="s">
        <v>925</v>
      </c>
      <c r="G177" s="709" t="s">
        <v>753</v>
      </c>
      <c r="H177" s="709">
        <v>5019</v>
      </c>
      <c r="I177" s="709" t="s">
        <v>921</v>
      </c>
      <c r="J177" s="709">
        <v>63300040</v>
      </c>
      <c r="K177" s="709" t="s">
        <v>1109</v>
      </c>
      <c r="L177" s="712">
        <v>4715.4875028935858</v>
      </c>
      <c r="M177" s="712">
        <v>4982.8719395700036</v>
      </c>
      <c r="N177" s="712">
        <v>5132.3580977571037</v>
      </c>
      <c r="O177" s="712">
        <v>5286.3288406898173</v>
      </c>
      <c r="P177" s="712">
        <v>5342.4977585334163</v>
      </c>
    </row>
    <row r="178" spans="1:16" hidden="1">
      <c r="A178" s="709" t="s">
        <v>287</v>
      </c>
      <c r="B178" s="709" t="s">
        <v>670</v>
      </c>
      <c r="C178" s="709" t="s">
        <v>926</v>
      </c>
      <c r="D178" s="709" t="s">
        <v>927</v>
      </c>
      <c r="E178" s="709" t="s">
        <v>928</v>
      </c>
      <c r="F178" s="709" t="s">
        <v>929</v>
      </c>
      <c r="G178" s="709" t="s">
        <v>753</v>
      </c>
      <c r="H178" s="709">
        <v>5019</v>
      </c>
      <c r="I178" s="709" t="s">
        <v>921</v>
      </c>
      <c r="J178" s="709">
        <v>63300040</v>
      </c>
      <c r="K178" s="709" t="s">
        <v>1109</v>
      </c>
      <c r="L178" s="712">
        <v>5715.5473270474595</v>
      </c>
      <c r="M178" s="712">
        <v>6039.6386116499962</v>
      </c>
      <c r="N178" s="712">
        <v>6220.8277699994951</v>
      </c>
      <c r="O178" s="712">
        <v>6407.4526030994803</v>
      </c>
      <c r="P178" s="712">
        <v>6475.5338159215116</v>
      </c>
    </row>
    <row r="179" spans="1:16" hidden="1">
      <c r="A179" s="709" t="s">
        <v>287</v>
      </c>
      <c r="B179" s="709" t="s">
        <v>670</v>
      </c>
      <c r="C179" s="709" t="s">
        <v>930</v>
      </c>
      <c r="D179" s="709" t="s">
        <v>931</v>
      </c>
      <c r="E179" s="709" t="s">
        <v>932</v>
      </c>
      <c r="F179" s="709" t="s">
        <v>933</v>
      </c>
      <c r="G179" s="709" t="s">
        <v>753</v>
      </c>
      <c r="H179" s="709">
        <v>5019</v>
      </c>
      <c r="I179" s="709" t="s">
        <v>921</v>
      </c>
      <c r="J179" s="709">
        <v>63300040</v>
      </c>
      <c r="K179" s="709" t="s">
        <v>1109</v>
      </c>
      <c r="L179" s="712">
        <v>9701.7311051558463</v>
      </c>
      <c r="M179" s="712">
        <v>10251.852784991992</v>
      </c>
      <c r="N179" s="712">
        <v>10559.408368541752</v>
      </c>
      <c r="O179" s="712">
        <v>10876.190619598005</v>
      </c>
      <c r="P179" s="712">
        <v>10991.753588867205</v>
      </c>
    </row>
    <row r="180" spans="1:16" hidden="1">
      <c r="A180" s="709" t="s">
        <v>287</v>
      </c>
      <c r="B180" s="709" t="s">
        <v>670</v>
      </c>
      <c r="C180" s="709" t="s">
        <v>934</v>
      </c>
      <c r="D180" s="709" t="s">
        <v>935</v>
      </c>
      <c r="E180" s="709" t="s">
        <v>936</v>
      </c>
      <c r="F180" s="709" t="s">
        <v>937</v>
      </c>
      <c r="G180" s="709" t="s">
        <v>753</v>
      </c>
      <c r="H180" s="709">
        <v>5019</v>
      </c>
      <c r="I180" s="709" t="s">
        <v>921</v>
      </c>
      <c r="J180" s="709">
        <v>63300040</v>
      </c>
      <c r="K180" s="709" t="s">
        <v>1109</v>
      </c>
      <c r="L180" s="712">
        <v>82491.726954976388</v>
      </c>
      <c r="M180" s="712">
        <v>87169.29293914797</v>
      </c>
      <c r="N180" s="712">
        <v>89784.371727322403</v>
      </c>
      <c r="O180" s="712">
        <v>92477.902879142086</v>
      </c>
      <c r="P180" s="712">
        <v>93460.509880277677</v>
      </c>
    </row>
    <row r="181" spans="1:16" hidden="1">
      <c r="A181" s="709" t="s">
        <v>287</v>
      </c>
      <c r="B181" s="709" t="s">
        <v>670</v>
      </c>
      <c r="C181" s="709" t="s">
        <v>938</v>
      </c>
      <c r="D181" s="709" t="s">
        <v>939</v>
      </c>
      <c r="E181" s="709" t="s">
        <v>940</v>
      </c>
      <c r="F181" s="709" t="s">
        <v>941</v>
      </c>
      <c r="G181" s="709" t="s">
        <v>753</v>
      </c>
      <c r="H181" s="709">
        <v>5019</v>
      </c>
      <c r="I181" s="709" t="s">
        <v>921</v>
      </c>
      <c r="J181" s="709">
        <v>63300040</v>
      </c>
      <c r="K181" s="709" t="s">
        <v>1109</v>
      </c>
      <c r="L181" s="712">
        <v>4258.898333894399</v>
      </c>
      <c r="M181" s="712">
        <v>4500.3925868580009</v>
      </c>
      <c r="N181" s="712">
        <v>4635.4043644637404</v>
      </c>
      <c r="O181" s="712">
        <v>4774.4664953976526</v>
      </c>
      <c r="P181" s="712">
        <v>4825.1967137417714</v>
      </c>
    </row>
    <row r="182" spans="1:16" hidden="1">
      <c r="A182" s="709" t="s">
        <v>287</v>
      </c>
      <c r="B182" s="709" t="s">
        <v>670</v>
      </c>
      <c r="C182" s="709" t="s">
        <v>942</v>
      </c>
      <c r="D182" s="709" t="s">
        <v>943</v>
      </c>
      <c r="E182" s="709" t="s">
        <v>944</v>
      </c>
      <c r="F182" s="709" t="s">
        <v>945</v>
      </c>
      <c r="G182" s="709" t="s">
        <v>753</v>
      </c>
      <c r="H182" s="709">
        <v>5019</v>
      </c>
      <c r="I182" s="709" t="s">
        <v>921</v>
      </c>
      <c r="J182" s="709">
        <v>63300040</v>
      </c>
      <c r="K182" s="709" t="s">
        <v>1109</v>
      </c>
      <c r="L182" s="712">
        <v>26339.622298866303</v>
      </c>
      <c r="M182" s="712">
        <v>27833.169904777733</v>
      </c>
      <c r="N182" s="712">
        <v>28668.165001921065</v>
      </c>
      <c r="O182" s="712">
        <v>29528.209951978693</v>
      </c>
      <c r="P182" s="712">
        <v>29841.95653279957</v>
      </c>
    </row>
    <row r="183" spans="1:16" hidden="1">
      <c r="A183" s="709" t="s">
        <v>287</v>
      </c>
      <c r="B183" s="709" t="s">
        <v>670</v>
      </c>
      <c r="C183" s="709" t="s">
        <v>946</v>
      </c>
      <c r="D183" s="709" t="s">
        <v>947</v>
      </c>
      <c r="E183" s="709" t="s">
        <v>948</v>
      </c>
      <c r="F183" s="709" t="s">
        <v>949</v>
      </c>
      <c r="G183" s="709" t="s">
        <v>753</v>
      </c>
      <c r="H183" s="709">
        <v>5019</v>
      </c>
      <c r="I183" s="709" t="s">
        <v>921</v>
      </c>
      <c r="J183" s="709">
        <v>63300040</v>
      </c>
      <c r="K183" s="709" t="s">
        <v>1109</v>
      </c>
      <c r="L183" s="712">
        <v>272.16990012040839</v>
      </c>
      <c r="M183" s="712">
        <v>287.60287399199973</v>
      </c>
      <c r="N183" s="712">
        <v>296.23096021175974</v>
      </c>
      <c r="O183" s="712">
        <v>305.11788901811258</v>
      </c>
      <c r="P183" s="712">
        <v>308.35986320423495</v>
      </c>
    </row>
    <row r="184" spans="1:16" hidden="1">
      <c r="A184" s="709" t="s">
        <v>403</v>
      </c>
      <c r="B184" s="709" t="s">
        <v>671</v>
      </c>
      <c r="C184" s="709" t="s">
        <v>950</v>
      </c>
      <c r="D184" s="709" t="s">
        <v>951</v>
      </c>
      <c r="E184" s="709" t="s">
        <v>952</v>
      </c>
      <c r="F184" s="709" t="s">
        <v>953</v>
      </c>
      <c r="G184" s="709" t="s">
        <v>753</v>
      </c>
      <c r="H184" s="709">
        <v>5017</v>
      </c>
      <c r="I184" s="709" t="s">
        <v>954</v>
      </c>
      <c r="J184" s="709">
        <v>63300040</v>
      </c>
      <c r="K184" s="709" t="s">
        <v>1109</v>
      </c>
      <c r="L184" s="712">
        <v>6288.9410220689615</v>
      </c>
      <c r="M184" s="712">
        <v>6645.5457106499953</v>
      </c>
      <c r="N184" s="712">
        <v>6844.9120819694945</v>
      </c>
      <c r="O184" s="712">
        <v>7050.2594444285805</v>
      </c>
      <c r="P184" s="712">
        <v>7125.1706834839415</v>
      </c>
    </row>
    <row r="185" spans="1:16" hidden="1">
      <c r="A185" s="709" t="s">
        <v>403</v>
      </c>
      <c r="B185" s="709" t="s">
        <v>671</v>
      </c>
      <c r="C185" s="709" t="s">
        <v>955</v>
      </c>
      <c r="D185" s="709" t="s">
        <v>956</v>
      </c>
      <c r="E185" s="709" t="s">
        <v>957</v>
      </c>
      <c r="F185" s="709" t="s">
        <v>958</v>
      </c>
      <c r="G185" s="709" t="s">
        <v>753</v>
      </c>
      <c r="H185" s="709">
        <v>5017</v>
      </c>
      <c r="I185" s="709" t="s">
        <v>954</v>
      </c>
      <c r="J185" s="709">
        <v>63300040</v>
      </c>
      <c r="K185" s="709" t="s">
        <v>1109</v>
      </c>
      <c r="L185" s="712">
        <v>100.70254085667653</v>
      </c>
      <c r="M185" s="712">
        <v>106.41272291999947</v>
      </c>
      <c r="N185" s="712">
        <v>109.60510460759944</v>
      </c>
      <c r="O185" s="712">
        <v>112.89325774582741</v>
      </c>
      <c r="P185" s="712">
        <v>114.09278435692528</v>
      </c>
    </row>
    <row r="186" spans="1:16" hidden="1">
      <c r="A186" s="709" t="s">
        <v>403</v>
      </c>
      <c r="B186" s="709" t="s">
        <v>671</v>
      </c>
      <c r="C186" s="709" t="s">
        <v>959</v>
      </c>
      <c r="D186" s="709" t="s">
        <v>960</v>
      </c>
      <c r="E186" s="709" t="s">
        <v>961</v>
      </c>
      <c r="F186" s="709" t="s">
        <v>962</v>
      </c>
      <c r="G186" s="709" t="s">
        <v>753</v>
      </c>
      <c r="H186" s="709">
        <v>5017</v>
      </c>
      <c r="I186" s="709" t="s">
        <v>954</v>
      </c>
      <c r="J186" s="709">
        <v>63300040</v>
      </c>
      <c r="K186" s="709" t="s">
        <v>1109</v>
      </c>
      <c r="L186" s="712">
        <v>1887.810580684318</v>
      </c>
      <c r="M186" s="712">
        <v>1994.855964297001</v>
      </c>
      <c r="N186" s="712">
        <v>2054.7016432259111</v>
      </c>
      <c r="O186" s="712">
        <v>2116.3426925226886</v>
      </c>
      <c r="P186" s="712">
        <v>2138.8295037687508</v>
      </c>
    </row>
    <row r="187" spans="1:16" hidden="1">
      <c r="A187" s="709" t="s">
        <v>403</v>
      </c>
      <c r="B187" s="709" t="s">
        <v>671</v>
      </c>
      <c r="C187" s="709" t="s">
        <v>963</v>
      </c>
      <c r="D187" s="709" t="s">
        <v>964</v>
      </c>
      <c r="E187" s="709" t="s">
        <v>965</v>
      </c>
      <c r="F187" s="709" t="s">
        <v>966</v>
      </c>
      <c r="G187" s="709" t="s">
        <v>753</v>
      </c>
      <c r="H187" s="709">
        <v>5017</v>
      </c>
      <c r="I187" s="709" t="s">
        <v>954</v>
      </c>
      <c r="J187" s="709">
        <v>63300040</v>
      </c>
      <c r="K187" s="709" t="s">
        <v>1109</v>
      </c>
      <c r="L187" s="712">
        <v>6555.8801451040372</v>
      </c>
      <c r="M187" s="712">
        <v>6927.6212044199801</v>
      </c>
      <c r="N187" s="712">
        <v>7135.4498405525792</v>
      </c>
      <c r="O187" s="712">
        <v>7349.5133357691566</v>
      </c>
      <c r="P187" s="712">
        <v>7427.6042421784869</v>
      </c>
    </row>
    <row r="188" spans="1:16" hidden="1">
      <c r="A188" s="709" t="s">
        <v>403</v>
      </c>
      <c r="B188" s="709" t="s">
        <v>671</v>
      </c>
      <c r="C188" s="709" t="s">
        <v>967</v>
      </c>
      <c r="D188" s="709" t="s">
        <v>968</v>
      </c>
      <c r="E188" s="709" t="s">
        <v>969</v>
      </c>
      <c r="F188" s="709" t="s">
        <v>970</v>
      </c>
      <c r="G188" s="709" t="s">
        <v>753</v>
      </c>
      <c r="H188" s="709">
        <v>5017</v>
      </c>
      <c r="I188" s="709" t="s">
        <v>954</v>
      </c>
      <c r="J188" s="709">
        <v>63300040</v>
      </c>
      <c r="K188" s="709" t="s">
        <v>1109</v>
      </c>
      <c r="L188" s="712">
        <v>6000.3489382979178</v>
      </c>
      <c r="M188" s="712">
        <v>6340.5894584443959</v>
      </c>
      <c r="N188" s="712">
        <v>6530.8071421977274</v>
      </c>
      <c r="O188" s="712">
        <v>6726.7313564636588</v>
      </c>
      <c r="P188" s="712">
        <v>6798.2050071395151</v>
      </c>
    </row>
    <row r="189" spans="1:16" hidden="1">
      <c r="A189" s="709" t="s">
        <v>403</v>
      </c>
      <c r="B189" s="709" t="s">
        <v>671</v>
      </c>
      <c r="C189" s="709" t="s">
        <v>971</v>
      </c>
      <c r="D189" s="709" t="s">
        <v>972</v>
      </c>
      <c r="E189" s="709" t="s">
        <v>973</v>
      </c>
      <c r="F189" s="709" t="s">
        <v>974</v>
      </c>
      <c r="G189" s="709" t="s">
        <v>753</v>
      </c>
      <c r="H189" s="709">
        <v>5017</v>
      </c>
      <c r="I189" s="709" t="s">
        <v>954</v>
      </c>
      <c r="J189" s="709">
        <v>63300040</v>
      </c>
      <c r="K189" s="709" t="s">
        <v>1109</v>
      </c>
      <c r="L189" s="712">
        <v>91054.382613444992</v>
      </c>
      <c r="M189" s="712">
        <v>96217.480763334082</v>
      </c>
      <c r="N189" s="712">
        <v>99104.005186234106</v>
      </c>
      <c r="O189" s="712">
        <v>102077.12534182113</v>
      </c>
      <c r="P189" s="712">
        <v>103161.72712120783</v>
      </c>
    </row>
    <row r="190" spans="1:16" hidden="1">
      <c r="A190" s="709" t="s">
        <v>403</v>
      </c>
      <c r="B190" s="709" t="s">
        <v>671</v>
      </c>
      <c r="C190" s="709" t="s">
        <v>975</v>
      </c>
      <c r="D190" s="709" t="s">
        <v>976</v>
      </c>
      <c r="E190" s="709" t="s">
        <v>977</v>
      </c>
      <c r="F190" s="709" t="s">
        <v>978</v>
      </c>
      <c r="G190" s="709" t="s">
        <v>753</v>
      </c>
      <c r="H190" s="709">
        <v>5017</v>
      </c>
      <c r="I190" s="709" t="s">
        <v>954</v>
      </c>
      <c r="J190" s="709">
        <v>63300040</v>
      </c>
      <c r="K190" s="709" t="s">
        <v>1109</v>
      </c>
      <c r="L190" s="712">
        <v>1712.8909169132446</v>
      </c>
      <c r="M190" s="712">
        <v>1810.0177511219995</v>
      </c>
      <c r="N190" s="712">
        <v>1864.3182836556598</v>
      </c>
      <c r="O190" s="712">
        <v>1920.2478321653293</v>
      </c>
      <c r="P190" s="712">
        <v>1940.6510734268336</v>
      </c>
    </row>
    <row r="191" spans="1:16" hidden="1">
      <c r="A191" s="709" t="s">
        <v>403</v>
      </c>
      <c r="B191" s="709" t="s">
        <v>671</v>
      </c>
      <c r="C191" s="709" t="s">
        <v>979</v>
      </c>
      <c r="D191" s="709" t="s">
        <v>980</v>
      </c>
      <c r="E191" s="709" t="s">
        <v>981</v>
      </c>
      <c r="F191" s="709" t="s">
        <v>982</v>
      </c>
      <c r="G191" s="709" t="s">
        <v>753</v>
      </c>
      <c r="H191" s="709">
        <v>5017</v>
      </c>
      <c r="I191" s="709" t="s">
        <v>954</v>
      </c>
      <c r="J191" s="709">
        <v>63300040</v>
      </c>
      <c r="K191" s="709" t="s">
        <v>1109</v>
      </c>
      <c r="L191" s="712">
        <v>25483.731121928453</v>
      </c>
      <c r="M191" s="712">
        <v>26928.746740413044</v>
      </c>
      <c r="N191" s="712">
        <v>27736.609142625432</v>
      </c>
      <c r="O191" s="712">
        <v>28568.707416904195</v>
      </c>
      <c r="P191" s="712">
        <v>28872.258979464292</v>
      </c>
    </row>
    <row r="192" spans="1:16" hidden="1">
      <c r="A192" s="709" t="s">
        <v>403</v>
      </c>
      <c r="B192" s="709" t="s">
        <v>671</v>
      </c>
      <c r="C192" s="709" t="s">
        <v>983</v>
      </c>
      <c r="D192" s="709" t="s">
        <v>984</v>
      </c>
      <c r="E192" s="709" t="s">
        <v>985</v>
      </c>
      <c r="F192" s="709" t="s">
        <v>986</v>
      </c>
      <c r="G192" s="709" t="s">
        <v>753</v>
      </c>
      <c r="H192" s="709">
        <v>5017</v>
      </c>
      <c r="I192" s="709" t="s">
        <v>954</v>
      </c>
      <c r="J192" s="709">
        <v>63300040</v>
      </c>
      <c r="K192" s="709" t="s">
        <v>1109</v>
      </c>
      <c r="L192" s="712">
        <v>302.78804502737086</v>
      </c>
      <c r="M192" s="712">
        <v>319.95717352199989</v>
      </c>
      <c r="N192" s="712">
        <v>329.55588872765986</v>
      </c>
      <c r="O192" s="712">
        <v>339.44256538948969</v>
      </c>
      <c r="P192" s="712">
        <v>343.04925013093583</v>
      </c>
    </row>
    <row r="193" spans="1:16" hidden="1">
      <c r="A193" s="709" t="s">
        <v>397</v>
      </c>
      <c r="B193" s="709" t="s">
        <v>673</v>
      </c>
      <c r="C193" s="709" t="s">
        <v>987</v>
      </c>
      <c r="D193" s="709" t="s">
        <v>988</v>
      </c>
      <c r="E193" s="709" t="s">
        <v>989</v>
      </c>
      <c r="F193" s="709" t="s">
        <v>990</v>
      </c>
      <c r="G193" s="709" t="s">
        <v>753</v>
      </c>
      <c r="H193" s="709">
        <v>5009</v>
      </c>
      <c r="I193" s="709" t="s">
        <v>991</v>
      </c>
      <c r="J193" s="709">
        <v>63300040</v>
      </c>
      <c r="K193" s="709" t="s">
        <v>1109</v>
      </c>
      <c r="L193" s="712">
        <v>69276.897688312616</v>
      </c>
      <c r="M193" s="712">
        <v>73205.137186712847</v>
      </c>
      <c r="N193" s="712">
        <v>75401.291302314246</v>
      </c>
      <c r="O193" s="712">
        <v>77663.330041383655</v>
      </c>
      <c r="P193" s="712">
        <v>78488.52751509691</v>
      </c>
    </row>
    <row r="194" spans="1:16" hidden="1">
      <c r="A194" s="709" t="s">
        <v>404</v>
      </c>
      <c r="B194" s="709" t="s">
        <v>673</v>
      </c>
      <c r="C194" s="709" t="s">
        <v>992</v>
      </c>
      <c r="D194" s="709" t="s">
        <v>993</v>
      </c>
      <c r="E194" s="709" t="s">
        <v>994</v>
      </c>
      <c r="F194" s="709" t="s">
        <v>995</v>
      </c>
      <c r="G194" s="709" t="s">
        <v>753</v>
      </c>
      <c r="H194" s="709">
        <v>5009</v>
      </c>
      <c r="I194" s="709" t="s">
        <v>991</v>
      </c>
      <c r="J194" s="709">
        <v>63300040</v>
      </c>
      <c r="K194" s="709" t="s">
        <v>1109</v>
      </c>
      <c r="L194" s="712">
        <v>1820.1303828086411</v>
      </c>
      <c r="M194" s="712">
        <v>1923.3380653199997</v>
      </c>
      <c r="N194" s="712">
        <v>1981.0382072795996</v>
      </c>
      <c r="O194" s="712">
        <v>2040.4693534979879</v>
      </c>
      <c r="P194" s="712">
        <v>2062.1499864916882</v>
      </c>
    </row>
    <row r="195" spans="1:16" hidden="1">
      <c r="A195" s="709" t="s">
        <v>542</v>
      </c>
      <c r="B195" s="709" t="s">
        <v>673</v>
      </c>
      <c r="C195" s="709" t="s">
        <v>996</v>
      </c>
      <c r="D195" s="709" t="s">
        <v>997</v>
      </c>
      <c r="E195" s="709" t="s">
        <v>998</v>
      </c>
      <c r="F195" s="709" t="s">
        <v>999</v>
      </c>
      <c r="G195" s="709" t="s">
        <v>753</v>
      </c>
      <c r="H195" s="709">
        <v>5009</v>
      </c>
      <c r="I195" s="709" t="s">
        <v>991</v>
      </c>
      <c r="J195" s="709">
        <v>63300040</v>
      </c>
      <c r="K195" s="709" t="s">
        <v>1109</v>
      </c>
      <c r="L195" s="712">
        <v>6855.2574230192413</v>
      </c>
      <c r="M195" s="712">
        <v>7243.9742085480002</v>
      </c>
      <c r="N195" s="712">
        <v>7461.29343480444</v>
      </c>
      <c r="O195" s="712">
        <v>7685.1322378485738</v>
      </c>
      <c r="P195" s="712">
        <v>7766.7892013659211</v>
      </c>
    </row>
    <row r="196" spans="1:16" hidden="1">
      <c r="A196" s="709" t="s">
        <v>542</v>
      </c>
      <c r="B196" s="709" t="s">
        <v>673</v>
      </c>
      <c r="C196" s="709" t="s">
        <v>1000</v>
      </c>
      <c r="D196" s="709" t="s">
        <v>1001</v>
      </c>
      <c r="E196" s="709" t="s">
        <v>1002</v>
      </c>
      <c r="F196" s="709" t="s">
        <v>1003</v>
      </c>
      <c r="G196" s="709" t="s">
        <v>753</v>
      </c>
      <c r="H196" s="709">
        <v>5009</v>
      </c>
      <c r="I196" s="709" t="s">
        <v>991</v>
      </c>
      <c r="J196" s="709">
        <v>63300040</v>
      </c>
      <c r="K196" s="709" t="s">
        <v>1109</v>
      </c>
      <c r="L196" s="712">
        <v>952.59160220200499</v>
      </c>
      <c r="M196" s="712">
        <v>1006.6068379079996</v>
      </c>
      <c r="N196" s="712">
        <v>1036.8050430452395</v>
      </c>
      <c r="O196" s="712">
        <v>1067.9091943365968</v>
      </c>
      <c r="P196" s="712">
        <v>1079.2560676789083</v>
      </c>
    </row>
    <row r="197" spans="1:16" hidden="1">
      <c r="A197" s="709" t="s">
        <v>542</v>
      </c>
      <c r="B197" s="709" t="s">
        <v>673</v>
      </c>
      <c r="C197" s="709" t="s">
        <v>1004</v>
      </c>
      <c r="D197" s="709" t="s">
        <v>1005</v>
      </c>
      <c r="E197" s="709" t="s">
        <v>1006</v>
      </c>
      <c r="F197" s="709" t="s">
        <v>1007</v>
      </c>
      <c r="G197" s="709" t="s">
        <v>753</v>
      </c>
      <c r="H197" s="709">
        <v>5009</v>
      </c>
      <c r="I197" s="709" t="s">
        <v>991</v>
      </c>
      <c r="J197" s="709">
        <v>63300040</v>
      </c>
      <c r="K197" s="709" t="s">
        <v>1109</v>
      </c>
      <c r="L197" s="712">
        <v>3266.0283504068757</v>
      </c>
      <c r="M197" s="712">
        <v>3451.2234442560002</v>
      </c>
      <c r="N197" s="712">
        <v>3554.7601475836805</v>
      </c>
      <c r="O197" s="712">
        <v>3661.4029520111912</v>
      </c>
      <c r="P197" s="712">
        <v>3700.3065177562594</v>
      </c>
    </row>
    <row r="198" spans="1:16" hidden="1">
      <c r="A198" s="709" t="s">
        <v>542</v>
      </c>
      <c r="B198" s="709" t="s">
        <v>673</v>
      </c>
      <c r="C198" s="709" t="s">
        <v>1008</v>
      </c>
      <c r="D198" s="709" t="s">
        <v>1009</v>
      </c>
      <c r="E198" s="709" t="s">
        <v>1010</v>
      </c>
      <c r="F198" s="709" t="s">
        <v>1011</v>
      </c>
      <c r="G198" s="709" t="s">
        <v>753</v>
      </c>
      <c r="H198" s="709">
        <v>5009</v>
      </c>
      <c r="I198" s="709" t="s">
        <v>991</v>
      </c>
      <c r="J198" s="709">
        <v>63300040</v>
      </c>
      <c r="K198" s="709" t="s">
        <v>1109</v>
      </c>
      <c r="L198" s="712">
        <v>6038.7503354175251</v>
      </c>
      <c r="M198" s="712">
        <v>6381.1683474840029</v>
      </c>
      <c r="N198" s="712">
        <v>6572.6033979085232</v>
      </c>
      <c r="O198" s="712">
        <v>6769.7814998457789</v>
      </c>
      <c r="P198" s="712">
        <v>6841.7125719268588</v>
      </c>
    </row>
    <row r="199" spans="1:16" hidden="1">
      <c r="A199" s="709" t="s">
        <v>542</v>
      </c>
      <c r="B199" s="709" t="s">
        <v>673</v>
      </c>
      <c r="C199" s="709" t="s">
        <v>1012</v>
      </c>
      <c r="D199" s="709" t="s">
        <v>1013</v>
      </c>
      <c r="E199" s="709" t="s">
        <v>1014</v>
      </c>
      <c r="F199" s="709" t="s">
        <v>1015</v>
      </c>
      <c r="G199" s="709" t="s">
        <v>753</v>
      </c>
      <c r="H199" s="709">
        <v>5009</v>
      </c>
      <c r="I199" s="709" t="s">
        <v>991</v>
      </c>
      <c r="J199" s="709">
        <v>63300040</v>
      </c>
      <c r="K199" s="709" t="s">
        <v>1109</v>
      </c>
      <c r="L199" s="712">
        <v>23823.295337257361</v>
      </c>
      <c r="M199" s="712">
        <v>25174.158508799996</v>
      </c>
      <c r="N199" s="712">
        <v>25929.383264063996</v>
      </c>
      <c r="O199" s="712">
        <v>26707.264761985916</v>
      </c>
      <c r="P199" s="712">
        <v>26991.037906913367</v>
      </c>
    </row>
    <row r="200" spans="1:16" hidden="1">
      <c r="A200" s="709" t="s">
        <v>542</v>
      </c>
      <c r="B200" s="709" t="s">
        <v>673</v>
      </c>
      <c r="C200" s="709" t="s">
        <v>1016</v>
      </c>
      <c r="D200" s="709" t="s">
        <v>1017</v>
      </c>
      <c r="E200" s="709" t="s">
        <v>1018</v>
      </c>
      <c r="F200" s="709" t="s">
        <v>1019</v>
      </c>
      <c r="G200" s="709" t="s">
        <v>753</v>
      </c>
      <c r="H200" s="709">
        <v>5009</v>
      </c>
      <c r="I200" s="709" t="s">
        <v>991</v>
      </c>
      <c r="J200" s="709">
        <v>63300040</v>
      </c>
      <c r="K200" s="709" t="s">
        <v>1109</v>
      </c>
      <c r="L200" s="712">
        <v>9107.374459595374</v>
      </c>
      <c r="M200" s="712">
        <v>9623.7940637160082</v>
      </c>
      <c r="N200" s="712">
        <v>9912.5078856274868</v>
      </c>
      <c r="O200" s="712">
        <v>10209.883122196312</v>
      </c>
      <c r="P200" s="712">
        <v>10318.366363319949</v>
      </c>
    </row>
    <row r="201" spans="1:16" hidden="1">
      <c r="A201" s="709" t="s">
        <v>400</v>
      </c>
      <c r="B201" s="709" t="s">
        <v>673</v>
      </c>
      <c r="C201" s="709" t="s">
        <v>1020</v>
      </c>
      <c r="D201" s="709" t="s">
        <v>1021</v>
      </c>
      <c r="E201" s="709" t="s">
        <v>1022</v>
      </c>
      <c r="F201" s="709" t="s">
        <v>1023</v>
      </c>
      <c r="G201" s="709" t="s">
        <v>753</v>
      </c>
      <c r="H201" s="709">
        <v>5009</v>
      </c>
      <c r="I201" s="709" t="s">
        <v>991</v>
      </c>
      <c r="J201" s="709">
        <v>63300040</v>
      </c>
      <c r="K201" s="709" t="s">
        <v>1109</v>
      </c>
      <c r="L201" s="712">
        <v>236.91904655366866</v>
      </c>
      <c r="M201" s="712">
        <v>250.35317521200861</v>
      </c>
      <c r="N201" s="712">
        <v>257.86377046836884</v>
      </c>
      <c r="O201" s="712">
        <v>265.59968358241991</v>
      </c>
      <c r="P201" s="712">
        <v>268.42176432238386</v>
      </c>
    </row>
    <row r="202" spans="1:16" hidden="1">
      <c r="A202" s="709" t="s">
        <v>400</v>
      </c>
      <c r="B202" s="709" t="s">
        <v>673</v>
      </c>
      <c r="C202" s="709" t="s">
        <v>1024</v>
      </c>
      <c r="D202" s="709" t="s">
        <v>1025</v>
      </c>
      <c r="E202" s="709" t="s">
        <v>1026</v>
      </c>
      <c r="F202" s="709" t="s">
        <v>1027</v>
      </c>
      <c r="G202" s="709" t="s">
        <v>753</v>
      </c>
      <c r="H202" s="709">
        <v>5009</v>
      </c>
      <c r="I202" s="709" t="s">
        <v>991</v>
      </c>
      <c r="J202" s="709">
        <v>63300040</v>
      </c>
      <c r="K202" s="709" t="s">
        <v>1109</v>
      </c>
      <c r="L202" s="712">
        <v>2152.8179318812349</v>
      </c>
      <c r="M202" s="712">
        <v>2274.8901480899999</v>
      </c>
      <c r="N202" s="712">
        <v>2343.1368525327002</v>
      </c>
      <c r="O202" s="712">
        <v>2413.4309581086814</v>
      </c>
      <c r="P202" s="712">
        <v>2439.0744262493267</v>
      </c>
    </row>
    <row r="203" spans="1:16" hidden="1">
      <c r="A203" s="709" t="s">
        <v>400</v>
      </c>
      <c r="B203" s="709" t="s">
        <v>673</v>
      </c>
      <c r="C203" s="709" t="s">
        <v>1028</v>
      </c>
      <c r="D203" s="709" t="s">
        <v>1029</v>
      </c>
      <c r="E203" s="709" t="s">
        <v>1030</v>
      </c>
      <c r="F203" s="709" t="s">
        <v>1031</v>
      </c>
      <c r="G203" s="709" t="s">
        <v>753</v>
      </c>
      <c r="H203" s="709">
        <v>5009</v>
      </c>
      <c r="I203" s="709" t="s">
        <v>991</v>
      </c>
      <c r="J203" s="709">
        <v>63300040</v>
      </c>
      <c r="K203" s="709" t="s">
        <v>1109</v>
      </c>
      <c r="L203" s="712">
        <v>6323.7852631488122</v>
      </c>
      <c r="M203" s="712">
        <v>6682.3657406099637</v>
      </c>
      <c r="N203" s="712">
        <v>6882.8367128282634</v>
      </c>
      <c r="O203" s="712">
        <v>7089.3218142131109</v>
      </c>
      <c r="P203" s="712">
        <v>7164.6481033164964</v>
      </c>
    </row>
    <row r="204" spans="1:16" hidden="1">
      <c r="A204" s="709" t="s">
        <v>400</v>
      </c>
      <c r="B204" s="709" t="s">
        <v>673</v>
      </c>
      <c r="C204" s="709" t="s">
        <v>1032</v>
      </c>
      <c r="D204" s="709" t="s">
        <v>1033</v>
      </c>
      <c r="E204" s="709" t="s">
        <v>1034</v>
      </c>
      <c r="F204" s="709" t="s">
        <v>1035</v>
      </c>
      <c r="G204" s="709" t="s">
        <v>753</v>
      </c>
      <c r="H204" s="709">
        <v>5009</v>
      </c>
      <c r="I204" s="709" t="s">
        <v>991</v>
      </c>
      <c r="J204" s="709">
        <v>63300040</v>
      </c>
      <c r="K204" s="709" t="s">
        <v>1109</v>
      </c>
      <c r="L204" s="712">
        <v>42277.305349566173</v>
      </c>
      <c r="M204" s="712">
        <v>44674.574660142003</v>
      </c>
      <c r="N204" s="712">
        <v>46014.811899946268</v>
      </c>
      <c r="O204" s="712">
        <v>47395.256256944653</v>
      </c>
      <c r="P204" s="712">
        <v>47898.845862339927</v>
      </c>
    </row>
    <row r="205" spans="1:16" hidden="1">
      <c r="A205" s="709" t="s">
        <v>396</v>
      </c>
      <c r="B205" s="709" t="s">
        <v>673</v>
      </c>
      <c r="C205" s="709" t="s">
        <v>1036</v>
      </c>
      <c r="D205" s="709" t="s">
        <v>1037</v>
      </c>
      <c r="E205" s="709" t="s">
        <v>1038</v>
      </c>
      <c r="F205" s="709" t="s">
        <v>1039</v>
      </c>
      <c r="G205" s="709" t="s">
        <v>753</v>
      </c>
      <c r="H205" s="709">
        <v>5009</v>
      </c>
      <c r="I205" s="709" t="s">
        <v>991</v>
      </c>
      <c r="J205" s="709">
        <v>63300040</v>
      </c>
      <c r="K205" s="709" t="s">
        <v>1109</v>
      </c>
      <c r="L205" s="712">
        <v>680.42246413645228</v>
      </c>
      <c r="M205" s="712">
        <v>719.00476918199934</v>
      </c>
      <c r="N205" s="712">
        <v>740.57491225745935</v>
      </c>
      <c r="O205" s="712">
        <v>762.7921596251831</v>
      </c>
      <c r="P205" s="712">
        <v>770.89706785865144</v>
      </c>
    </row>
    <row r="206" spans="1:16" hidden="1">
      <c r="A206" s="709" t="s">
        <v>541</v>
      </c>
      <c r="B206" s="709" t="s">
        <v>673</v>
      </c>
      <c r="C206" s="709" t="s">
        <v>1040</v>
      </c>
      <c r="D206" s="709" t="s">
        <v>1041</v>
      </c>
      <c r="E206" s="709" t="s">
        <v>1042</v>
      </c>
      <c r="F206" s="709" t="s">
        <v>1043</v>
      </c>
      <c r="G206" s="709" t="s">
        <v>753</v>
      </c>
      <c r="H206" s="709">
        <v>5009</v>
      </c>
      <c r="I206" s="709" t="s">
        <v>991</v>
      </c>
      <c r="J206" s="709">
        <v>63300040</v>
      </c>
      <c r="K206" s="709" t="s">
        <v>1109</v>
      </c>
      <c r="L206" s="712">
        <v>6421.4875972560058</v>
      </c>
      <c r="M206" s="712">
        <v>6785.608134690001</v>
      </c>
      <c r="N206" s="712">
        <v>6989.1763787307018</v>
      </c>
      <c r="O206" s="712">
        <v>7198.851670092623</v>
      </c>
      <c r="P206" s="712">
        <v>7275.3417485972586</v>
      </c>
    </row>
    <row r="207" spans="1:16" hidden="1">
      <c r="A207" s="709" t="s">
        <v>541</v>
      </c>
      <c r="B207" s="709" t="s">
        <v>673</v>
      </c>
      <c r="C207" s="709" t="s">
        <v>1044</v>
      </c>
      <c r="D207" s="709" t="s">
        <v>1045</v>
      </c>
      <c r="E207" s="709" t="s">
        <v>1046</v>
      </c>
      <c r="F207" s="709" t="s">
        <v>1047</v>
      </c>
      <c r="G207" s="709" t="s">
        <v>753</v>
      </c>
      <c r="H207" s="709">
        <v>5009</v>
      </c>
      <c r="I207" s="709" t="s">
        <v>991</v>
      </c>
      <c r="J207" s="709">
        <v>63300040</v>
      </c>
      <c r="K207" s="709" t="s">
        <v>1109</v>
      </c>
      <c r="L207" s="712">
        <v>1292.8024532428046</v>
      </c>
      <c r="M207" s="712">
        <v>1366.1088198660011</v>
      </c>
      <c r="N207" s="712">
        <v>1407.0920844619811</v>
      </c>
      <c r="O207" s="712">
        <v>1449.3048469958408</v>
      </c>
      <c r="P207" s="712">
        <v>1464.7041699162469</v>
      </c>
    </row>
    <row r="208" spans="1:16" hidden="1">
      <c r="A208" s="709" t="s">
        <v>541</v>
      </c>
      <c r="B208" s="709" t="s">
        <v>673</v>
      </c>
      <c r="C208" s="709" t="s">
        <v>1048</v>
      </c>
      <c r="D208" s="709" t="s">
        <v>1049</v>
      </c>
      <c r="E208" s="709" t="s">
        <v>1050</v>
      </c>
      <c r="F208" s="709" t="s">
        <v>1051</v>
      </c>
      <c r="G208" s="709" t="s">
        <v>753</v>
      </c>
      <c r="H208" s="709">
        <v>5009</v>
      </c>
      <c r="I208" s="709" t="s">
        <v>991</v>
      </c>
      <c r="J208" s="709">
        <v>63300040</v>
      </c>
      <c r="K208" s="709" t="s">
        <v>1109</v>
      </c>
      <c r="L208" s="712">
        <v>680.42132099454852</v>
      </c>
      <c r="M208" s="712">
        <v>719.00356121999926</v>
      </c>
      <c r="N208" s="712">
        <v>740.57366805659922</v>
      </c>
      <c r="O208" s="712">
        <v>762.79087809829718</v>
      </c>
      <c r="P208" s="712">
        <v>770.89577271513656</v>
      </c>
    </row>
    <row r="209" spans="1:16" hidden="1">
      <c r="A209" s="709" t="s">
        <v>541</v>
      </c>
      <c r="B209" s="709" t="s">
        <v>673</v>
      </c>
      <c r="C209" s="709" t="s">
        <v>1052</v>
      </c>
      <c r="D209" s="709" t="s">
        <v>1053</v>
      </c>
      <c r="E209" s="709" t="s">
        <v>1054</v>
      </c>
      <c r="F209" s="709" t="s">
        <v>1055</v>
      </c>
      <c r="G209" s="709" t="s">
        <v>753</v>
      </c>
      <c r="H209" s="709">
        <v>5009</v>
      </c>
      <c r="I209" s="709" t="s">
        <v>991</v>
      </c>
      <c r="J209" s="709">
        <v>63300040</v>
      </c>
      <c r="K209" s="709" t="s">
        <v>1109</v>
      </c>
      <c r="L209" s="712">
        <v>7169.9525364225483</v>
      </c>
      <c r="M209" s="712">
        <v>7576.5136223699874</v>
      </c>
      <c r="N209" s="712">
        <v>7803.809031041088</v>
      </c>
      <c r="O209" s="712">
        <v>8037.9233019723197</v>
      </c>
      <c r="P209" s="712">
        <v>8123.3287822569546</v>
      </c>
    </row>
    <row r="210" spans="1:16" hidden="1">
      <c r="A210" s="709" t="s">
        <v>541</v>
      </c>
      <c r="B210" s="709" t="s">
        <v>673</v>
      </c>
      <c r="C210" s="709" t="s">
        <v>1056</v>
      </c>
      <c r="D210" s="709" t="s">
        <v>1057</v>
      </c>
      <c r="E210" s="709" t="s">
        <v>1058</v>
      </c>
      <c r="F210" s="709" t="s">
        <v>1059</v>
      </c>
      <c r="G210" s="709" t="s">
        <v>753</v>
      </c>
      <c r="H210" s="709">
        <v>5009</v>
      </c>
      <c r="I210" s="709" t="s">
        <v>991</v>
      </c>
      <c r="J210" s="709">
        <v>63300040</v>
      </c>
      <c r="K210" s="709" t="s">
        <v>1109</v>
      </c>
      <c r="L210" s="712">
        <v>17886.608387849665</v>
      </c>
      <c r="M210" s="712">
        <v>18900.840894011988</v>
      </c>
      <c r="N210" s="712">
        <v>19467.866120832346</v>
      </c>
      <c r="O210" s="712">
        <v>20051.90210445732</v>
      </c>
      <c r="P210" s="712">
        <v>20264.959913733932</v>
      </c>
    </row>
    <row r="211" spans="1:16" hidden="1">
      <c r="A211" s="709" t="s">
        <v>541</v>
      </c>
      <c r="B211" s="709" t="s">
        <v>673</v>
      </c>
      <c r="C211" s="709" t="s">
        <v>1060</v>
      </c>
      <c r="D211" s="709" t="s">
        <v>1061</v>
      </c>
      <c r="E211" s="709" t="s">
        <v>1062</v>
      </c>
      <c r="F211" s="709" t="s">
        <v>1063</v>
      </c>
      <c r="G211" s="709" t="s">
        <v>753</v>
      </c>
      <c r="H211" s="709">
        <v>5009</v>
      </c>
      <c r="I211" s="709" t="s">
        <v>991</v>
      </c>
      <c r="J211" s="709">
        <v>63300040</v>
      </c>
      <c r="K211" s="709" t="s">
        <v>1109</v>
      </c>
      <c r="L211" s="712">
        <v>136.08451460028638</v>
      </c>
      <c r="M211" s="712">
        <v>143.8009768439999</v>
      </c>
      <c r="N211" s="712">
        <v>148.1150061493199</v>
      </c>
      <c r="O211" s="712">
        <v>152.55845633379951</v>
      </c>
      <c r="P211" s="712">
        <v>154.17943823984402</v>
      </c>
    </row>
    <row r="212" spans="1:16" hidden="1">
      <c r="A212" s="709" t="s">
        <v>397</v>
      </c>
      <c r="B212" s="709" t="s">
        <v>1064</v>
      </c>
      <c r="C212" s="709" t="s">
        <v>1065</v>
      </c>
      <c r="D212" s="709" t="s">
        <v>1066</v>
      </c>
      <c r="E212" s="709" t="s">
        <v>1067</v>
      </c>
      <c r="F212" s="709" t="s">
        <v>1068</v>
      </c>
      <c r="G212" s="709" t="s">
        <v>753</v>
      </c>
      <c r="H212" s="709">
        <v>5008</v>
      </c>
      <c r="I212" s="709" t="s">
        <v>1069</v>
      </c>
      <c r="J212" s="709">
        <v>63300040</v>
      </c>
      <c r="K212" s="709" t="s">
        <v>1109</v>
      </c>
      <c r="L212" s="712">
        <v>17274.949449058098</v>
      </c>
      <c r="M212" s="712">
        <v>18254.498779687347</v>
      </c>
      <c r="N212" s="712">
        <v>18802.133743077968</v>
      </c>
      <c r="O212" s="712">
        <v>19366.197755370307</v>
      </c>
      <c r="P212" s="712">
        <v>19571.969738810207</v>
      </c>
    </row>
    <row r="213" spans="1:16" hidden="1">
      <c r="A213" s="709" t="s">
        <v>133</v>
      </c>
      <c r="B213" s="709" t="s">
        <v>662</v>
      </c>
      <c r="C213" s="709" t="s">
        <v>749</v>
      </c>
      <c r="D213" s="709" t="s">
        <v>750</v>
      </c>
      <c r="E213" s="709" t="s">
        <v>751</v>
      </c>
      <c r="F213" s="709" t="s">
        <v>752</v>
      </c>
      <c r="G213" s="709" t="s">
        <v>1110</v>
      </c>
      <c r="H213" s="709">
        <v>5327</v>
      </c>
      <c r="I213" s="709" t="s">
        <v>754</v>
      </c>
      <c r="J213" s="709">
        <v>63300056</v>
      </c>
      <c r="K213" s="709" t="s">
        <v>1111</v>
      </c>
      <c r="L213" s="712">
        <v>352498.22347436671</v>
      </c>
      <c r="M213" s="712">
        <v>372486.09086990001</v>
      </c>
      <c r="N213" s="712">
        <v>383660.67359599704</v>
      </c>
      <c r="O213" s="712">
        <v>395170.49380387698</v>
      </c>
      <c r="P213" s="712">
        <v>399369.30543092435</v>
      </c>
    </row>
    <row r="214" spans="1:16" hidden="1">
      <c r="A214" s="709" t="s">
        <v>133</v>
      </c>
      <c r="B214" s="709" t="s">
        <v>662</v>
      </c>
      <c r="C214" s="709" t="s">
        <v>756</v>
      </c>
      <c r="D214" s="709" t="s">
        <v>757</v>
      </c>
      <c r="E214" s="709" t="s">
        <v>758</v>
      </c>
      <c r="F214" s="709" t="s">
        <v>759</v>
      </c>
      <c r="G214" s="709" t="s">
        <v>1110</v>
      </c>
      <c r="H214" s="709">
        <v>5327</v>
      </c>
      <c r="I214" s="709" t="s">
        <v>754</v>
      </c>
      <c r="J214" s="709">
        <v>63300056</v>
      </c>
      <c r="K214" s="709" t="s">
        <v>1111</v>
      </c>
      <c r="L214" s="712">
        <v>32391.05174540637</v>
      </c>
      <c r="M214" s="712">
        <v>34227.7363128</v>
      </c>
      <c r="N214" s="712">
        <v>35254.568402183999</v>
      </c>
      <c r="O214" s="712">
        <v>36312.205454249517</v>
      </c>
      <c r="P214" s="712">
        <v>36698.03413542809</v>
      </c>
    </row>
    <row r="215" spans="1:16" hidden="1">
      <c r="A215" s="709" t="s">
        <v>133</v>
      </c>
      <c r="B215" s="709" t="s">
        <v>662</v>
      </c>
      <c r="C215" s="709" t="s">
        <v>760</v>
      </c>
      <c r="D215" s="709" t="s">
        <v>761</v>
      </c>
      <c r="E215" s="709" t="s">
        <v>762</v>
      </c>
      <c r="F215" s="709" t="s">
        <v>763</v>
      </c>
      <c r="G215" s="709" t="s">
        <v>1110</v>
      </c>
      <c r="H215" s="709">
        <v>5327</v>
      </c>
      <c r="I215" s="709" t="s">
        <v>754</v>
      </c>
      <c r="J215" s="709">
        <v>63300056</v>
      </c>
      <c r="K215" s="709" t="s">
        <v>1111</v>
      </c>
      <c r="L215" s="712">
        <v>200582.85771557913</v>
      </c>
      <c r="M215" s="712">
        <v>211956.59890020007</v>
      </c>
      <c r="N215" s="712">
        <v>218315.29686720608</v>
      </c>
      <c r="O215" s="712">
        <v>224864.75577322228</v>
      </c>
      <c r="P215" s="712">
        <v>227254.01500653528</v>
      </c>
    </row>
    <row r="216" spans="1:16" hidden="1">
      <c r="A216" s="709" t="s">
        <v>126</v>
      </c>
      <c r="B216" s="709" t="s">
        <v>663</v>
      </c>
      <c r="C216" s="709" t="s">
        <v>764</v>
      </c>
      <c r="D216" s="709" t="s">
        <v>765</v>
      </c>
      <c r="E216" s="709" t="s">
        <v>766</v>
      </c>
      <c r="F216" s="709" t="s">
        <v>767</v>
      </c>
      <c r="G216" s="709" t="s">
        <v>1110</v>
      </c>
      <c r="H216" s="709">
        <v>5325</v>
      </c>
      <c r="I216" s="709" t="s">
        <v>768</v>
      </c>
      <c r="J216" s="709">
        <v>63300056</v>
      </c>
      <c r="K216" s="709" t="s">
        <v>1111</v>
      </c>
      <c r="L216" s="712">
        <v>308886.63638315734</v>
      </c>
      <c r="M216" s="712">
        <v>326401.57608249976</v>
      </c>
      <c r="N216" s="712">
        <v>336193.62336497474</v>
      </c>
      <c r="O216" s="712">
        <v>346279.43206592399</v>
      </c>
      <c r="P216" s="712">
        <v>349958.76068069495</v>
      </c>
    </row>
    <row r="217" spans="1:16" hidden="1">
      <c r="A217" s="709" t="s">
        <v>126</v>
      </c>
      <c r="B217" s="709" t="s">
        <v>663</v>
      </c>
      <c r="C217" s="709" t="s">
        <v>769</v>
      </c>
      <c r="D217" s="709" t="s">
        <v>770</v>
      </c>
      <c r="E217" s="709" t="s">
        <v>771</v>
      </c>
      <c r="F217" s="709" t="s">
        <v>772</v>
      </c>
      <c r="G217" s="709" t="s">
        <v>1110</v>
      </c>
      <c r="H217" s="709">
        <v>5325</v>
      </c>
      <c r="I217" s="709" t="s">
        <v>768</v>
      </c>
      <c r="J217" s="709">
        <v>63300056</v>
      </c>
      <c r="K217" s="709" t="s">
        <v>1111</v>
      </c>
      <c r="L217" s="712">
        <v>123350.7425930629</v>
      </c>
      <c r="M217" s="712">
        <v>130345.15596000003</v>
      </c>
      <c r="N217" s="712">
        <v>134255.51063880004</v>
      </c>
      <c r="O217" s="712">
        <v>138283.17595796403</v>
      </c>
      <c r="P217" s="712">
        <v>139752.4784897606</v>
      </c>
    </row>
    <row r="218" spans="1:16" hidden="1">
      <c r="A218" s="709" t="s">
        <v>127</v>
      </c>
      <c r="B218" s="709" t="s">
        <v>663</v>
      </c>
      <c r="C218" s="709" t="s">
        <v>773</v>
      </c>
      <c r="D218" s="709" t="s">
        <v>774</v>
      </c>
      <c r="E218" s="709" t="s">
        <v>775</v>
      </c>
      <c r="F218" s="709" t="s">
        <v>776</v>
      </c>
      <c r="G218" s="709" t="s">
        <v>1110</v>
      </c>
      <c r="H218" s="709">
        <v>5325</v>
      </c>
      <c r="I218" s="709" t="s">
        <v>768</v>
      </c>
      <c r="J218" s="709">
        <v>63300056</v>
      </c>
      <c r="K218" s="709" t="s">
        <v>1111</v>
      </c>
      <c r="L218" s="712">
        <v>308886.63638334686</v>
      </c>
      <c r="M218" s="712">
        <v>326401.57608270005</v>
      </c>
      <c r="N218" s="712">
        <v>336193.62336518103</v>
      </c>
      <c r="O218" s="712">
        <v>346279.43206613645</v>
      </c>
      <c r="P218" s="712">
        <v>349958.76068090962</v>
      </c>
    </row>
    <row r="219" spans="1:16" hidden="1">
      <c r="A219" s="709" t="s">
        <v>127</v>
      </c>
      <c r="B219" s="709" t="s">
        <v>663</v>
      </c>
      <c r="C219" s="709" t="s">
        <v>777</v>
      </c>
      <c r="D219" s="709" t="s">
        <v>778</v>
      </c>
      <c r="E219" s="709" t="s">
        <v>779</v>
      </c>
      <c r="F219" s="709" t="s">
        <v>780</v>
      </c>
      <c r="G219" s="709" t="s">
        <v>1110</v>
      </c>
      <c r="H219" s="709">
        <v>5325</v>
      </c>
      <c r="I219" s="709" t="s">
        <v>768</v>
      </c>
      <c r="J219" s="709">
        <v>63300056</v>
      </c>
      <c r="K219" s="709" t="s">
        <v>1111</v>
      </c>
      <c r="L219" s="712">
        <v>122565.40142735407</v>
      </c>
      <c r="M219" s="712">
        <v>129515.28323630001</v>
      </c>
      <c r="N219" s="712">
        <v>133400.741733389</v>
      </c>
      <c r="O219" s="712">
        <v>137402.76398539069</v>
      </c>
      <c r="P219" s="712">
        <v>138862.71186119702</v>
      </c>
    </row>
    <row r="220" spans="1:16" hidden="1">
      <c r="A220" s="709" t="s">
        <v>406</v>
      </c>
      <c r="B220" s="709" t="s">
        <v>664</v>
      </c>
      <c r="C220" s="709" t="s">
        <v>781</v>
      </c>
      <c r="D220" s="709" t="s">
        <v>782</v>
      </c>
      <c r="E220" s="709" t="s">
        <v>783</v>
      </c>
      <c r="F220" s="709" t="s">
        <v>784</v>
      </c>
      <c r="G220" s="709" t="s">
        <v>1110</v>
      </c>
      <c r="H220" s="709">
        <v>5240</v>
      </c>
      <c r="I220" s="709" t="s">
        <v>785</v>
      </c>
      <c r="J220" s="709">
        <v>63300056</v>
      </c>
      <c r="K220" s="709" t="s">
        <v>1111</v>
      </c>
      <c r="L220" s="712">
        <v>206680.87379180425</v>
      </c>
      <c r="M220" s="712">
        <v>218400.39356079948</v>
      </c>
      <c r="N220" s="712">
        <v>224952.40536762346</v>
      </c>
      <c r="O220" s="712">
        <v>231700.97752865218</v>
      </c>
      <c r="P220" s="712">
        <v>234162.8737828001</v>
      </c>
    </row>
    <row r="221" spans="1:16" hidden="1">
      <c r="A221" s="709" t="s">
        <v>406</v>
      </c>
      <c r="B221" s="709" t="s">
        <v>664</v>
      </c>
      <c r="C221" s="709" t="s">
        <v>786</v>
      </c>
      <c r="D221" s="709" t="s">
        <v>787</v>
      </c>
      <c r="E221" s="709" t="s">
        <v>788</v>
      </c>
      <c r="F221" s="709" t="s">
        <v>789</v>
      </c>
      <c r="G221" s="709" t="s">
        <v>1110</v>
      </c>
      <c r="H221" s="709">
        <v>5240</v>
      </c>
      <c r="I221" s="709" t="s">
        <v>785</v>
      </c>
      <c r="J221" s="709">
        <v>63300056</v>
      </c>
      <c r="K221" s="709" t="s">
        <v>1111</v>
      </c>
      <c r="L221" s="712">
        <v>506490.96004951972</v>
      </c>
      <c r="M221" s="712">
        <v>535210.74776000262</v>
      </c>
      <c r="N221" s="712">
        <v>551267.0701928027</v>
      </c>
      <c r="O221" s="712">
        <v>567805.08229858684</v>
      </c>
      <c r="P221" s="712">
        <v>573838.19109297753</v>
      </c>
    </row>
    <row r="222" spans="1:16" hidden="1">
      <c r="A222" s="709" t="s">
        <v>406</v>
      </c>
      <c r="B222" s="709" t="s">
        <v>664</v>
      </c>
      <c r="C222" s="709" t="s">
        <v>790</v>
      </c>
      <c r="D222" s="709" t="s">
        <v>791</v>
      </c>
      <c r="E222" s="709" t="s">
        <v>792</v>
      </c>
      <c r="F222" s="709" t="s">
        <v>793</v>
      </c>
      <c r="G222" s="709" t="s">
        <v>1110</v>
      </c>
      <c r="H222" s="709">
        <v>5240</v>
      </c>
      <c r="I222" s="709" t="s">
        <v>785</v>
      </c>
      <c r="J222" s="709">
        <v>63300056</v>
      </c>
      <c r="K222" s="709" t="s">
        <v>1111</v>
      </c>
      <c r="L222" s="712">
        <v>202778.72465602116</v>
      </c>
      <c r="M222" s="712">
        <v>214276.97908440029</v>
      </c>
      <c r="N222" s="712">
        <v>220705.28845693229</v>
      </c>
      <c r="O222" s="712">
        <v>227326.44711064026</v>
      </c>
      <c r="P222" s="712">
        <v>229741.86259390568</v>
      </c>
    </row>
    <row r="223" spans="1:16" hidden="1">
      <c r="A223" s="709" t="s">
        <v>406</v>
      </c>
      <c r="B223" s="709" t="s">
        <v>664</v>
      </c>
      <c r="C223" s="709" t="s">
        <v>794</v>
      </c>
      <c r="D223" s="709" t="s">
        <v>795</v>
      </c>
      <c r="E223" s="709" t="s">
        <v>796</v>
      </c>
      <c r="F223" s="709" t="s">
        <v>797</v>
      </c>
      <c r="G223" s="709" t="s">
        <v>1110</v>
      </c>
      <c r="H223" s="709">
        <v>5240</v>
      </c>
      <c r="I223" s="709" t="s">
        <v>785</v>
      </c>
      <c r="J223" s="709">
        <v>63300056</v>
      </c>
      <c r="K223" s="709" t="s">
        <v>1111</v>
      </c>
      <c r="L223" s="712">
        <v>157124.52107086751</v>
      </c>
      <c r="M223" s="712">
        <v>166034.0243892</v>
      </c>
      <c r="N223" s="712">
        <v>171015.04512087599</v>
      </c>
      <c r="O223" s="712">
        <v>176145.49647450229</v>
      </c>
      <c r="P223" s="712">
        <v>178017.09815085679</v>
      </c>
    </row>
    <row r="224" spans="1:16" hidden="1">
      <c r="A224" s="709" t="s">
        <v>406</v>
      </c>
      <c r="B224" s="709" t="s">
        <v>664</v>
      </c>
      <c r="C224" s="709" t="s">
        <v>798</v>
      </c>
      <c r="D224" s="709" t="s">
        <v>799</v>
      </c>
      <c r="E224" s="709" t="s">
        <v>800</v>
      </c>
      <c r="F224" s="709" t="s">
        <v>801</v>
      </c>
      <c r="G224" s="709" t="s">
        <v>1110</v>
      </c>
      <c r="H224" s="709">
        <v>5240</v>
      </c>
      <c r="I224" s="709" t="s">
        <v>785</v>
      </c>
      <c r="J224" s="709">
        <v>63300056</v>
      </c>
      <c r="K224" s="709" t="s">
        <v>1111</v>
      </c>
      <c r="L224" s="712">
        <v>598339.21768944175</v>
      </c>
      <c r="M224" s="712">
        <v>632267.11900720082</v>
      </c>
      <c r="N224" s="712">
        <v>651235.13257741684</v>
      </c>
      <c r="O224" s="712">
        <v>670772.18655473948</v>
      </c>
      <c r="P224" s="712">
        <v>677899.35343629273</v>
      </c>
    </row>
    <row r="225" spans="1:16" hidden="1">
      <c r="A225" s="709" t="s">
        <v>593</v>
      </c>
      <c r="B225" s="709" t="s">
        <v>665</v>
      </c>
      <c r="C225" s="709" t="s">
        <v>802</v>
      </c>
      <c r="D225" s="709" t="s">
        <v>803</v>
      </c>
      <c r="E225" s="709" t="s">
        <v>804</v>
      </c>
      <c r="F225" s="709" t="s">
        <v>805</v>
      </c>
      <c r="G225" s="709" t="s">
        <v>1110</v>
      </c>
      <c r="H225" s="709">
        <v>5150</v>
      </c>
      <c r="I225" s="709" t="s">
        <v>806</v>
      </c>
      <c r="J225" s="709">
        <v>63300056</v>
      </c>
      <c r="K225" s="709" t="s">
        <v>1111</v>
      </c>
      <c r="L225" s="712">
        <v>360815.47702443082</v>
      </c>
      <c r="M225" s="712">
        <v>381274.96143810154</v>
      </c>
      <c r="N225" s="712">
        <v>392713.2102812446</v>
      </c>
      <c r="O225" s="712">
        <v>404494.60658968193</v>
      </c>
      <c r="P225" s="712">
        <v>408792.48986755044</v>
      </c>
    </row>
    <row r="226" spans="1:16" hidden="1">
      <c r="A226" s="709" t="s">
        <v>593</v>
      </c>
      <c r="B226" s="709" t="s">
        <v>665</v>
      </c>
      <c r="C226" s="709" t="s">
        <v>807</v>
      </c>
      <c r="D226" s="709" t="s">
        <v>808</v>
      </c>
      <c r="E226" s="709" t="s">
        <v>809</v>
      </c>
      <c r="F226" s="709" t="s">
        <v>810</v>
      </c>
      <c r="G226" s="709" t="s">
        <v>1110</v>
      </c>
      <c r="H226" s="709">
        <v>5150</v>
      </c>
      <c r="I226" s="709" t="s">
        <v>806</v>
      </c>
      <c r="J226" s="709">
        <v>63300056</v>
      </c>
      <c r="K226" s="709" t="s">
        <v>1111</v>
      </c>
      <c r="L226" s="712">
        <v>841801.62189152127</v>
      </c>
      <c r="M226" s="712">
        <v>889534.68285809993</v>
      </c>
      <c r="N226" s="712">
        <v>916220.7233438429</v>
      </c>
      <c r="O226" s="712">
        <v>943707.34504415817</v>
      </c>
      <c r="P226" s="712">
        <v>953734.53440933372</v>
      </c>
    </row>
    <row r="227" spans="1:16" hidden="1">
      <c r="A227" s="709" t="s">
        <v>593</v>
      </c>
      <c r="B227" s="709" t="s">
        <v>665</v>
      </c>
      <c r="C227" s="709" t="s">
        <v>811</v>
      </c>
      <c r="D227" s="709" t="s">
        <v>812</v>
      </c>
      <c r="E227" s="709" t="s">
        <v>813</v>
      </c>
      <c r="F227" s="709" t="s">
        <v>814</v>
      </c>
      <c r="G227" s="709" t="s">
        <v>1110</v>
      </c>
      <c r="H227" s="709">
        <v>5150</v>
      </c>
      <c r="I227" s="709" t="s">
        <v>806</v>
      </c>
      <c r="J227" s="709">
        <v>63300056</v>
      </c>
      <c r="K227" s="709" t="s">
        <v>1111</v>
      </c>
      <c r="L227" s="712">
        <v>52898.435789828225</v>
      </c>
      <c r="M227" s="712">
        <v>55897.959899699687</v>
      </c>
      <c r="N227" s="712">
        <v>57574.898696690681</v>
      </c>
      <c r="O227" s="712">
        <v>59302.145657591405</v>
      </c>
      <c r="P227" s="712">
        <v>59932.249733174358</v>
      </c>
    </row>
    <row r="228" spans="1:16" hidden="1">
      <c r="A228" s="709" t="s">
        <v>593</v>
      </c>
      <c r="B228" s="709" t="s">
        <v>665</v>
      </c>
      <c r="C228" s="709" t="s">
        <v>815</v>
      </c>
      <c r="D228" s="709" t="s">
        <v>816</v>
      </c>
      <c r="E228" s="709" t="s">
        <v>817</v>
      </c>
      <c r="F228" s="709" t="s">
        <v>818</v>
      </c>
      <c r="G228" s="709" t="s">
        <v>1110</v>
      </c>
      <c r="H228" s="709">
        <v>5150</v>
      </c>
      <c r="I228" s="709" t="s">
        <v>806</v>
      </c>
      <c r="J228" s="709">
        <v>63300056</v>
      </c>
      <c r="K228" s="709" t="s">
        <v>1111</v>
      </c>
      <c r="L228" s="712">
        <v>1279612.8999727329</v>
      </c>
      <c r="M228" s="712">
        <v>1352171.3733465108</v>
      </c>
      <c r="N228" s="712">
        <v>1392736.5145469063</v>
      </c>
      <c r="O228" s="712">
        <v>1434518.6099833134</v>
      </c>
      <c r="P228" s="712">
        <v>1449760.8244534128</v>
      </c>
    </row>
    <row r="229" spans="1:16" hidden="1">
      <c r="A229" s="709" t="s">
        <v>593</v>
      </c>
      <c r="B229" s="709" t="s">
        <v>665</v>
      </c>
      <c r="C229" s="709" t="s">
        <v>819</v>
      </c>
      <c r="D229" s="709" t="s">
        <v>820</v>
      </c>
      <c r="E229" s="709" t="s">
        <v>821</v>
      </c>
      <c r="F229" s="709" t="s">
        <v>822</v>
      </c>
      <c r="G229" s="709" t="s">
        <v>1110</v>
      </c>
      <c r="H229" s="709">
        <v>5150</v>
      </c>
      <c r="I229" s="709" t="s">
        <v>806</v>
      </c>
      <c r="J229" s="709">
        <v>63300056</v>
      </c>
      <c r="K229" s="709" t="s">
        <v>1111</v>
      </c>
      <c r="L229" s="712">
        <v>1100094.8862214969</v>
      </c>
      <c r="M229" s="712">
        <v>1162474.0678569996</v>
      </c>
      <c r="N229" s="712">
        <v>1197348.2898927096</v>
      </c>
      <c r="O229" s="712">
        <v>1233268.738589491</v>
      </c>
      <c r="P229" s="712">
        <v>1246372.6094504404</v>
      </c>
    </row>
    <row r="230" spans="1:16" hidden="1">
      <c r="A230" s="709" t="s">
        <v>593</v>
      </c>
      <c r="B230" s="709" t="s">
        <v>666</v>
      </c>
      <c r="C230" s="709" t="s">
        <v>823</v>
      </c>
      <c r="D230" s="709" t="s">
        <v>824</v>
      </c>
      <c r="E230" s="709" t="s">
        <v>825</v>
      </c>
      <c r="F230" s="709" t="s">
        <v>826</v>
      </c>
      <c r="G230" s="709" t="s">
        <v>1110</v>
      </c>
      <c r="H230" s="709">
        <v>5031</v>
      </c>
      <c r="I230" s="709" t="s">
        <v>827</v>
      </c>
      <c r="J230" s="709">
        <v>63300056</v>
      </c>
      <c r="K230" s="709" t="s">
        <v>1111</v>
      </c>
      <c r="L230" s="712">
        <v>401185.60971681308</v>
      </c>
      <c r="M230" s="712">
        <v>423934.22016080009</v>
      </c>
      <c r="N230" s="712">
        <v>436652.24676562409</v>
      </c>
      <c r="O230" s="712">
        <v>449751.8141685928</v>
      </c>
      <c r="P230" s="712">
        <v>454530.56960764126</v>
      </c>
    </row>
    <row r="231" spans="1:16" hidden="1">
      <c r="A231" s="709" t="s">
        <v>397</v>
      </c>
      <c r="B231" s="709" t="s">
        <v>666</v>
      </c>
      <c r="C231" s="709" t="s">
        <v>828</v>
      </c>
      <c r="D231" s="709" t="s">
        <v>829</v>
      </c>
      <c r="E231" s="709" t="s">
        <v>830</v>
      </c>
      <c r="F231" s="709" t="s">
        <v>831</v>
      </c>
      <c r="G231" s="709" t="s">
        <v>1110</v>
      </c>
      <c r="H231" s="709">
        <v>5031</v>
      </c>
      <c r="I231" s="709" t="s">
        <v>827</v>
      </c>
      <c r="J231" s="709">
        <v>63300056</v>
      </c>
      <c r="K231" s="709" t="s">
        <v>1111</v>
      </c>
      <c r="L231" s="712">
        <v>55379.130017902964</v>
      </c>
      <c r="M231" s="712">
        <v>58519.318063016151</v>
      </c>
      <c r="N231" s="712">
        <v>60274.897604906633</v>
      </c>
      <c r="O231" s="712">
        <v>62083.144533053826</v>
      </c>
      <c r="P231" s="712">
        <v>62742.797602289364</v>
      </c>
    </row>
    <row r="232" spans="1:16" hidden="1">
      <c r="A232" s="709" t="s">
        <v>593</v>
      </c>
      <c r="B232" s="709" t="s">
        <v>666</v>
      </c>
      <c r="C232" s="709" t="s">
        <v>832</v>
      </c>
      <c r="D232" s="709" t="s">
        <v>833</v>
      </c>
      <c r="E232" s="709" t="s">
        <v>834</v>
      </c>
      <c r="F232" s="709" t="s">
        <v>835</v>
      </c>
      <c r="G232" s="709" t="s">
        <v>1110</v>
      </c>
      <c r="H232" s="709">
        <v>5031</v>
      </c>
      <c r="I232" s="709" t="s">
        <v>827</v>
      </c>
      <c r="J232" s="709">
        <v>63300056</v>
      </c>
      <c r="K232" s="709" t="s">
        <v>1111</v>
      </c>
      <c r="L232" s="712">
        <v>74869.19112188452</v>
      </c>
      <c r="M232" s="712">
        <v>79114.532983199999</v>
      </c>
      <c r="N232" s="712">
        <v>81487.968972696006</v>
      </c>
      <c r="O232" s="712">
        <v>83932.608041876883</v>
      </c>
      <c r="P232" s="712">
        <v>84824.418579506615</v>
      </c>
    </row>
    <row r="233" spans="1:16" hidden="1">
      <c r="A233" s="709" t="s">
        <v>398</v>
      </c>
      <c r="B233" s="709" t="s">
        <v>667</v>
      </c>
      <c r="C233" s="709" t="s">
        <v>836</v>
      </c>
      <c r="D233" s="709" t="s">
        <v>837</v>
      </c>
      <c r="E233" s="709" t="s">
        <v>838</v>
      </c>
      <c r="F233" s="709" t="s">
        <v>839</v>
      </c>
      <c r="G233" s="709" t="s">
        <v>1110</v>
      </c>
      <c r="H233" s="709">
        <v>5025</v>
      </c>
      <c r="I233" s="709" t="s">
        <v>840</v>
      </c>
      <c r="J233" s="709">
        <v>63300056</v>
      </c>
      <c r="K233" s="709" t="s">
        <v>1111</v>
      </c>
      <c r="L233" s="712">
        <v>401669.11979937134</v>
      </c>
      <c r="M233" s="712">
        <v>424445.14693590027</v>
      </c>
      <c r="N233" s="712">
        <v>437178.50134397729</v>
      </c>
      <c r="O233" s="712">
        <v>450293.85638429661</v>
      </c>
      <c r="P233" s="712">
        <v>455078.3711935241</v>
      </c>
    </row>
    <row r="234" spans="1:16" hidden="1">
      <c r="A234" s="709" t="s">
        <v>398</v>
      </c>
      <c r="B234" s="709" t="s">
        <v>667</v>
      </c>
      <c r="C234" s="709" t="s">
        <v>841</v>
      </c>
      <c r="D234" s="709" t="s">
        <v>842</v>
      </c>
      <c r="E234" s="709" t="s">
        <v>843</v>
      </c>
      <c r="F234" s="709" t="s">
        <v>844</v>
      </c>
      <c r="G234" s="709" t="s">
        <v>1110</v>
      </c>
      <c r="H234" s="709">
        <v>5025</v>
      </c>
      <c r="I234" s="709" t="s">
        <v>840</v>
      </c>
      <c r="J234" s="709">
        <v>63300056</v>
      </c>
      <c r="K234" s="709" t="s">
        <v>1111</v>
      </c>
      <c r="L234" s="712">
        <v>10334.100838414393</v>
      </c>
      <c r="M234" s="712">
        <v>10920.080067399975</v>
      </c>
      <c r="N234" s="712">
        <v>11247.682469421976</v>
      </c>
      <c r="O234" s="712">
        <v>11585.112943504635</v>
      </c>
      <c r="P234" s="712">
        <v>11708.208436944959</v>
      </c>
    </row>
    <row r="235" spans="1:16" hidden="1">
      <c r="A235" s="709" t="s">
        <v>398</v>
      </c>
      <c r="B235" s="709" t="s">
        <v>667</v>
      </c>
      <c r="C235" s="709" t="s">
        <v>845</v>
      </c>
      <c r="D235" s="709" t="s">
        <v>846</v>
      </c>
      <c r="E235" s="709" t="s">
        <v>847</v>
      </c>
      <c r="F235" s="709" t="s">
        <v>848</v>
      </c>
      <c r="G235" s="709" t="s">
        <v>1110</v>
      </c>
      <c r="H235" s="709">
        <v>5025</v>
      </c>
      <c r="I235" s="709" t="s">
        <v>840</v>
      </c>
      <c r="J235" s="709">
        <v>63300056</v>
      </c>
      <c r="K235" s="709" t="s">
        <v>1111</v>
      </c>
      <c r="L235" s="712">
        <v>10146.430096890741</v>
      </c>
      <c r="M235" s="712">
        <v>10721.767746300053</v>
      </c>
      <c r="N235" s="712">
        <v>11043.420778689055</v>
      </c>
      <c r="O235" s="712">
        <v>11374.723402049727</v>
      </c>
      <c r="P235" s="712">
        <v>11495.583439992433</v>
      </c>
    </row>
    <row r="236" spans="1:16" hidden="1">
      <c r="A236" s="709" t="s">
        <v>398</v>
      </c>
      <c r="B236" s="709" t="s">
        <v>667</v>
      </c>
      <c r="C236" s="709" t="s">
        <v>849</v>
      </c>
      <c r="D236" s="709" t="s">
        <v>850</v>
      </c>
      <c r="E236" s="709" t="s">
        <v>851</v>
      </c>
      <c r="F236" s="709" t="s">
        <v>852</v>
      </c>
      <c r="G236" s="709" t="s">
        <v>1110</v>
      </c>
      <c r="H236" s="709">
        <v>5025</v>
      </c>
      <c r="I236" s="709" t="s">
        <v>840</v>
      </c>
      <c r="J236" s="709">
        <v>63300056</v>
      </c>
      <c r="K236" s="709" t="s">
        <v>1111</v>
      </c>
      <c r="L236" s="712">
        <v>104321.99390928783</v>
      </c>
      <c r="M236" s="712">
        <v>110237.41146840104</v>
      </c>
      <c r="N236" s="712">
        <v>113544.53381245307</v>
      </c>
      <c r="O236" s="712">
        <v>116950.86982682667</v>
      </c>
      <c r="P236" s="712">
        <v>118193.50985112437</v>
      </c>
    </row>
    <row r="237" spans="1:16" hidden="1">
      <c r="A237" s="709" t="s">
        <v>398</v>
      </c>
      <c r="B237" s="709" t="s">
        <v>667</v>
      </c>
      <c r="C237" s="709" t="s">
        <v>853</v>
      </c>
      <c r="D237" s="709" t="s">
        <v>854</v>
      </c>
      <c r="E237" s="709" t="s">
        <v>855</v>
      </c>
      <c r="F237" s="709" t="s">
        <v>856</v>
      </c>
      <c r="G237" s="709" t="s">
        <v>1110</v>
      </c>
      <c r="H237" s="709">
        <v>5025</v>
      </c>
      <c r="I237" s="709" t="s">
        <v>840</v>
      </c>
      <c r="J237" s="709">
        <v>63300056</v>
      </c>
      <c r="K237" s="709" t="s">
        <v>1111</v>
      </c>
      <c r="L237" s="712">
        <v>11937.04453257935</v>
      </c>
      <c r="M237" s="712">
        <v>12613.916208300356</v>
      </c>
      <c r="N237" s="712">
        <v>12992.333694549365</v>
      </c>
      <c r="O237" s="712">
        <v>13382.103705385845</v>
      </c>
      <c r="P237" s="712">
        <v>13524.292794686664</v>
      </c>
    </row>
    <row r="238" spans="1:16" hidden="1">
      <c r="A238" s="709" t="s">
        <v>398</v>
      </c>
      <c r="B238" s="709" t="s">
        <v>667</v>
      </c>
      <c r="C238" s="709" t="s">
        <v>857</v>
      </c>
      <c r="D238" s="709" t="s">
        <v>858</v>
      </c>
      <c r="E238" s="709" t="s">
        <v>859</v>
      </c>
      <c r="F238" s="709" t="s">
        <v>860</v>
      </c>
      <c r="G238" s="709" t="s">
        <v>1110</v>
      </c>
      <c r="H238" s="709">
        <v>5025</v>
      </c>
      <c r="I238" s="709" t="s">
        <v>840</v>
      </c>
      <c r="J238" s="709">
        <v>63300056</v>
      </c>
      <c r="K238" s="709" t="s">
        <v>1111</v>
      </c>
      <c r="L238" s="712">
        <v>122022.26040220712</v>
      </c>
      <c r="M238" s="712">
        <v>128941.3442381003</v>
      </c>
      <c r="N238" s="712">
        <v>132809.58456524331</v>
      </c>
      <c r="O238" s="712">
        <v>136793.87210220061</v>
      </c>
      <c r="P238" s="712">
        <v>138247.35030894296</v>
      </c>
    </row>
    <row r="239" spans="1:16" hidden="1">
      <c r="A239" s="709" t="s">
        <v>398</v>
      </c>
      <c r="B239" s="709" t="s">
        <v>667</v>
      </c>
      <c r="C239" s="709" t="s">
        <v>861</v>
      </c>
      <c r="D239" s="709" t="s">
        <v>862</v>
      </c>
      <c r="E239" s="709" t="s">
        <v>863</v>
      </c>
      <c r="F239" s="709" t="s">
        <v>864</v>
      </c>
      <c r="G239" s="709" t="s">
        <v>1110</v>
      </c>
      <c r="H239" s="709">
        <v>5025</v>
      </c>
      <c r="I239" s="709" t="s">
        <v>840</v>
      </c>
      <c r="J239" s="709">
        <v>63300056</v>
      </c>
      <c r="K239" s="709" t="s">
        <v>1111</v>
      </c>
      <c r="L239" s="712">
        <v>892952.80467582738</v>
      </c>
      <c r="M239" s="712">
        <v>943586.31446889986</v>
      </c>
      <c r="N239" s="712">
        <v>971893.90390296688</v>
      </c>
      <c r="O239" s="712">
        <v>1001050.7210200559</v>
      </c>
      <c r="P239" s="712">
        <v>1011687.2019127038</v>
      </c>
    </row>
    <row r="240" spans="1:16" hidden="1">
      <c r="A240" s="709" t="s">
        <v>398</v>
      </c>
      <c r="B240" s="709" t="s">
        <v>667</v>
      </c>
      <c r="C240" s="709" t="s">
        <v>865</v>
      </c>
      <c r="D240" s="709" t="s">
        <v>866</v>
      </c>
      <c r="E240" s="709" t="s">
        <v>867</v>
      </c>
      <c r="F240" s="709" t="s">
        <v>868</v>
      </c>
      <c r="G240" s="709" t="s">
        <v>1110</v>
      </c>
      <c r="H240" s="709">
        <v>5025</v>
      </c>
      <c r="I240" s="709" t="s">
        <v>840</v>
      </c>
      <c r="J240" s="709">
        <v>63300056</v>
      </c>
      <c r="K240" s="709" t="s">
        <v>1111</v>
      </c>
      <c r="L240" s="712">
        <v>10543.029746530709</v>
      </c>
      <c r="M240" s="712">
        <v>11140.855966599995</v>
      </c>
      <c r="N240" s="712">
        <v>11475.081645597993</v>
      </c>
      <c r="O240" s="712">
        <v>11819.334094965934</v>
      </c>
      <c r="P240" s="712">
        <v>11944.91826230645</v>
      </c>
    </row>
    <row r="241" spans="1:16" hidden="1">
      <c r="A241" s="709" t="s">
        <v>398</v>
      </c>
      <c r="B241" s="709" t="s">
        <v>667</v>
      </c>
      <c r="C241" s="709" t="s">
        <v>869</v>
      </c>
      <c r="D241" s="709" t="s">
        <v>870</v>
      </c>
      <c r="E241" s="709" t="s">
        <v>871</v>
      </c>
      <c r="F241" s="709" t="s">
        <v>872</v>
      </c>
      <c r="G241" s="709" t="s">
        <v>1110</v>
      </c>
      <c r="H241" s="709">
        <v>5025</v>
      </c>
      <c r="I241" s="709" t="s">
        <v>840</v>
      </c>
      <c r="J241" s="709">
        <v>63300056</v>
      </c>
      <c r="K241" s="709" t="s">
        <v>1111</v>
      </c>
      <c r="L241" s="712">
        <v>5282.1351955890486</v>
      </c>
      <c r="M241" s="712">
        <v>5581.6505145999854</v>
      </c>
      <c r="N241" s="712">
        <v>5749.1000300379847</v>
      </c>
      <c r="O241" s="712">
        <v>5921.5730309391247</v>
      </c>
      <c r="P241" s="712">
        <v>5984.4916194536236</v>
      </c>
    </row>
    <row r="242" spans="1:16" hidden="1">
      <c r="A242" s="709" t="s">
        <v>397</v>
      </c>
      <c r="B242" s="709" t="s">
        <v>873</v>
      </c>
      <c r="C242" s="709" t="s">
        <v>874</v>
      </c>
      <c r="D242" s="709" t="s">
        <v>875</v>
      </c>
      <c r="E242" s="709" t="s">
        <v>876</v>
      </c>
      <c r="F242" s="709" t="s">
        <v>877</v>
      </c>
      <c r="G242" s="709" t="s">
        <v>1110</v>
      </c>
      <c r="H242" s="709">
        <v>5024</v>
      </c>
      <c r="I242" s="709" t="s">
        <v>878</v>
      </c>
      <c r="J242" s="709">
        <v>63300056</v>
      </c>
      <c r="K242" s="709" t="s">
        <v>1111</v>
      </c>
      <c r="L242" s="712">
        <v>242850.10157416135</v>
      </c>
      <c r="M242" s="712">
        <v>256620.54154804995</v>
      </c>
      <c r="N242" s="712">
        <v>264319.15779449145</v>
      </c>
      <c r="O242" s="712">
        <v>272248.73252832622</v>
      </c>
      <c r="P242" s="712">
        <v>275141.46151875582</v>
      </c>
    </row>
    <row r="243" spans="1:16" hidden="1">
      <c r="A243" s="709" t="s">
        <v>399</v>
      </c>
      <c r="B243" s="709" t="s">
        <v>668</v>
      </c>
      <c r="C243" s="709" t="s">
        <v>879</v>
      </c>
      <c r="D243" s="709" t="s">
        <v>880</v>
      </c>
      <c r="E243" s="709" t="s">
        <v>881</v>
      </c>
      <c r="F243" s="709" t="s">
        <v>882</v>
      </c>
      <c r="G243" s="709" t="s">
        <v>1110</v>
      </c>
      <c r="H243" s="709">
        <v>5021</v>
      </c>
      <c r="I243" s="709" t="s">
        <v>883</v>
      </c>
      <c r="J243" s="709">
        <v>63300056</v>
      </c>
      <c r="K243" s="709" t="s">
        <v>1111</v>
      </c>
      <c r="L243" s="712">
        <v>47885.1192965636</v>
      </c>
      <c r="M243" s="712">
        <v>50600.371036799981</v>
      </c>
      <c r="N243" s="712">
        <v>52118.382167903983</v>
      </c>
      <c r="O243" s="712">
        <v>53681.933632941102</v>
      </c>
      <c r="P243" s="712">
        <v>54252.321176127065</v>
      </c>
    </row>
    <row r="244" spans="1:16" hidden="1">
      <c r="A244" s="709" t="s">
        <v>399</v>
      </c>
      <c r="B244" s="709" t="s">
        <v>668</v>
      </c>
      <c r="C244" s="709" t="s">
        <v>884</v>
      </c>
      <c r="D244" s="709" t="s">
        <v>885</v>
      </c>
      <c r="E244" s="709" t="s">
        <v>886</v>
      </c>
      <c r="F244" s="709" t="s">
        <v>887</v>
      </c>
      <c r="G244" s="709" t="s">
        <v>1110</v>
      </c>
      <c r="H244" s="709">
        <v>5021</v>
      </c>
      <c r="I244" s="709" t="s">
        <v>883</v>
      </c>
      <c r="J244" s="709">
        <v>63300056</v>
      </c>
      <c r="K244" s="709" t="s">
        <v>1111</v>
      </c>
      <c r="L244" s="712">
        <v>160745.60084220296</v>
      </c>
      <c r="M244" s="712">
        <v>169860.43189689881</v>
      </c>
      <c r="N244" s="712">
        <v>174956.24485380575</v>
      </c>
      <c r="O244" s="712">
        <v>180204.93219941994</v>
      </c>
      <c r="P244" s="712">
        <v>182119.66666576837</v>
      </c>
    </row>
    <row r="245" spans="1:16" hidden="1">
      <c r="A245" s="709" t="s">
        <v>399</v>
      </c>
      <c r="B245" s="709" t="s">
        <v>668</v>
      </c>
      <c r="C245" s="709" t="s">
        <v>888</v>
      </c>
      <c r="D245" s="709" t="s">
        <v>889</v>
      </c>
      <c r="E245" s="709" t="s">
        <v>890</v>
      </c>
      <c r="F245" s="709" t="s">
        <v>891</v>
      </c>
      <c r="G245" s="709" t="s">
        <v>1110</v>
      </c>
      <c r="H245" s="709">
        <v>5021</v>
      </c>
      <c r="I245" s="709" t="s">
        <v>883</v>
      </c>
      <c r="J245" s="709">
        <v>63300056</v>
      </c>
      <c r="K245" s="709" t="s">
        <v>1111</v>
      </c>
      <c r="L245" s="712">
        <v>101755.87021072258</v>
      </c>
      <c r="M245" s="712">
        <v>107525.77968839949</v>
      </c>
      <c r="N245" s="712">
        <v>110751.55307905147</v>
      </c>
      <c r="O245" s="712">
        <v>114074.09967142303</v>
      </c>
      <c r="P245" s="712">
        <v>115286.17310189288</v>
      </c>
    </row>
    <row r="246" spans="1:16" hidden="1">
      <c r="A246" s="709" t="s">
        <v>399</v>
      </c>
      <c r="B246" s="709" t="s">
        <v>668</v>
      </c>
      <c r="C246" s="709" t="s">
        <v>892</v>
      </c>
      <c r="D246" s="709" t="s">
        <v>893</v>
      </c>
      <c r="E246" s="709" t="s">
        <v>894</v>
      </c>
      <c r="F246" s="709" t="s">
        <v>895</v>
      </c>
      <c r="G246" s="709" t="s">
        <v>1110</v>
      </c>
      <c r="H246" s="709">
        <v>5021</v>
      </c>
      <c r="I246" s="709" t="s">
        <v>883</v>
      </c>
      <c r="J246" s="709">
        <v>63300056</v>
      </c>
      <c r="K246" s="709" t="s">
        <v>1111</v>
      </c>
      <c r="L246" s="712">
        <v>928577.49805806775</v>
      </c>
      <c r="M246" s="712">
        <v>981231.05107380496</v>
      </c>
      <c r="N246" s="712">
        <v>1010667.9826060191</v>
      </c>
      <c r="O246" s="712">
        <v>1040988.0220841998</v>
      </c>
      <c r="P246" s="712">
        <v>1052048.8494467647</v>
      </c>
    </row>
    <row r="247" spans="1:16" hidden="1">
      <c r="A247" s="709" t="s">
        <v>399</v>
      </c>
      <c r="B247" s="709" t="s">
        <v>668</v>
      </c>
      <c r="C247" s="709" t="s">
        <v>896</v>
      </c>
      <c r="D247" s="709" t="s">
        <v>897</v>
      </c>
      <c r="E247" s="709" t="s">
        <v>898</v>
      </c>
      <c r="F247" s="709" t="s">
        <v>899</v>
      </c>
      <c r="G247" s="709" t="s">
        <v>1110</v>
      </c>
      <c r="H247" s="709">
        <v>5021</v>
      </c>
      <c r="I247" s="709" t="s">
        <v>883</v>
      </c>
      <c r="J247" s="709">
        <v>63300056</v>
      </c>
      <c r="K247" s="709" t="s">
        <v>1111</v>
      </c>
      <c r="L247" s="712">
        <v>594299.41436248668</v>
      </c>
      <c r="M247" s="712">
        <v>627998.24487130006</v>
      </c>
      <c r="N247" s="712">
        <v>646838.19221743906</v>
      </c>
      <c r="O247" s="712">
        <v>666243.33798396226</v>
      </c>
      <c r="P247" s="712">
        <v>673322.38441539521</v>
      </c>
    </row>
    <row r="248" spans="1:16" hidden="1">
      <c r="A248" s="709" t="s">
        <v>399</v>
      </c>
      <c r="B248" s="709" t="s">
        <v>668</v>
      </c>
      <c r="C248" s="709" t="s">
        <v>900</v>
      </c>
      <c r="D248" s="709" t="s">
        <v>901</v>
      </c>
      <c r="E248" s="709" t="s">
        <v>902</v>
      </c>
      <c r="F248" s="709" t="s">
        <v>903</v>
      </c>
      <c r="G248" s="709" t="s">
        <v>1110</v>
      </c>
      <c r="H248" s="709">
        <v>5021</v>
      </c>
      <c r="I248" s="709" t="s">
        <v>883</v>
      </c>
      <c r="J248" s="709">
        <v>63300056</v>
      </c>
      <c r="K248" s="709" t="s">
        <v>1111</v>
      </c>
      <c r="L248" s="712">
        <v>11817.837542177196</v>
      </c>
      <c r="M248" s="712">
        <v>12487.949769600011</v>
      </c>
      <c r="N248" s="712">
        <v>12862.58826268801</v>
      </c>
      <c r="O248" s="712">
        <v>13248.46591056865</v>
      </c>
      <c r="P248" s="712">
        <v>13389.235055983248</v>
      </c>
    </row>
    <row r="249" spans="1:16" hidden="1">
      <c r="A249" s="709" t="s">
        <v>407</v>
      </c>
      <c r="B249" s="709" t="s">
        <v>669</v>
      </c>
      <c r="C249" s="709" t="s">
        <v>904</v>
      </c>
      <c r="D249" s="709" t="s">
        <v>905</v>
      </c>
      <c r="E249" s="709" t="s">
        <v>906</v>
      </c>
      <c r="F249" s="709" t="s">
        <v>907</v>
      </c>
      <c r="G249" s="709" t="s">
        <v>1110</v>
      </c>
      <c r="H249" s="709">
        <v>5020</v>
      </c>
      <c r="I249" s="709" t="s">
        <v>908</v>
      </c>
      <c r="J249" s="709">
        <v>63300056</v>
      </c>
      <c r="K249" s="709" t="s">
        <v>1111</v>
      </c>
      <c r="L249" s="712">
        <v>408959.3915850069</v>
      </c>
      <c r="M249" s="712">
        <v>432148.80232469965</v>
      </c>
      <c r="N249" s="712">
        <v>445113.26639444067</v>
      </c>
      <c r="O249" s="712">
        <v>458466.66438627389</v>
      </c>
      <c r="P249" s="712">
        <v>463338.01786843466</v>
      </c>
    </row>
    <row r="250" spans="1:16" hidden="1">
      <c r="A250" s="709" t="s">
        <v>405</v>
      </c>
      <c r="B250" s="709" t="s">
        <v>669</v>
      </c>
      <c r="C250" s="709" t="s">
        <v>909</v>
      </c>
      <c r="D250" s="709" t="s">
        <v>910</v>
      </c>
      <c r="E250" s="709" t="s">
        <v>911</v>
      </c>
      <c r="F250" s="709" t="s">
        <v>912</v>
      </c>
      <c r="G250" s="709" t="s">
        <v>1110</v>
      </c>
      <c r="H250" s="709">
        <v>5020</v>
      </c>
      <c r="I250" s="709" t="s">
        <v>908</v>
      </c>
      <c r="J250" s="709">
        <v>63300056</v>
      </c>
      <c r="K250" s="709" t="s">
        <v>1111</v>
      </c>
      <c r="L250" s="712">
        <v>87024.309361764477</v>
      </c>
      <c r="M250" s="712">
        <v>91958.888431600004</v>
      </c>
      <c r="N250" s="712">
        <v>94717.655084548009</v>
      </c>
      <c r="O250" s="712">
        <v>97559.184737084448</v>
      </c>
      <c r="P250" s="712">
        <v>98595.781966944007</v>
      </c>
    </row>
    <row r="251" spans="1:16" hidden="1">
      <c r="A251" s="709" t="s">
        <v>397</v>
      </c>
      <c r="B251" s="709" t="s">
        <v>669</v>
      </c>
      <c r="C251" s="709" t="s">
        <v>913</v>
      </c>
      <c r="D251" s="709" t="s">
        <v>914</v>
      </c>
      <c r="E251" s="709" t="s">
        <v>915</v>
      </c>
      <c r="F251" s="709" t="s">
        <v>916</v>
      </c>
      <c r="G251" s="709" t="s">
        <v>1110</v>
      </c>
      <c r="H251" s="709">
        <v>5020</v>
      </c>
      <c r="I251" s="709" t="s">
        <v>908</v>
      </c>
      <c r="J251" s="709">
        <v>63300056</v>
      </c>
      <c r="K251" s="709" t="s">
        <v>1111</v>
      </c>
      <c r="L251" s="712">
        <v>298269.26149137632</v>
      </c>
      <c r="M251" s="712">
        <v>315182.15934399999</v>
      </c>
      <c r="N251" s="712">
        <v>324637.62412431999</v>
      </c>
      <c r="O251" s="712">
        <v>334376.75284804963</v>
      </c>
      <c r="P251" s="712">
        <v>337929.61172715796</v>
      </c>
    </row>
    <row r="252" spans="1:16" hidden="1">
      <c r="A252" s="709" t="s">
        <v>287</v>
      </c>
      <c r="B252" s="709" t="s">
        <v>670</v>
      </c>
      <c r="C252" s="709" t="s">
        <v>917</v>
      </c>
      <c r="D252" s="709" t="s">
        <v>918</v>
      </c>
      <c r="E252" s="709" t="s">
        <v>919</v>
      </c>
      <c r="F252" s="709" t="s">
        <v>920</v>
      </c>
      <c r="G252" s="709" t="s">
        <v>1110</v>
      </c>
      <c r="H252" s="709">
        <v>5019</v>
      </c>
      <c r="I252" s="709" t="s">
        <v>921</v>
      </c>
      <c r="J252" s="709">
        <v>63300056</v>
      </c>
      <c r="K252" s="709" t="s">
        <v>1111</v>
      </c>
      <c r="L252" s="712">
        <v>37376.533352789491</v>
      </c>
      <c r="M252" s="712">
        <v>39495.911955599986</v>
      </c>
      <c r="N252" s="712">
        <v>40680.78931426799</v>
      </c>
      <c r="O252" s="712">
        <v>41901.212993696034</v>
      </c>
      <c r="P252" s="712">
        <v>42346.426649735433</v>
      </c>
    </row>
    <row r="253" spans="1:16" hidden="1">
      <c r="A253" s="709" t="s">
        <v>287</v>
      </c>
      <c r="B253" s="709" t="s">
        <v>670</v>
      </c>
      <c r="C253" s="709" t="s">
        <v>922</v>
      </c>
      <c r="D253" s="709" t="s">
        <v>923</v>
      </c>
      <c r="E253" s="709" t="s">
        <v>924</v>
      </c>
      <c r="F253" s="709" t="s">
        <v>925</v>
      </c>
      <c r="G253" s="709" t="s">
        <v>1110</v>
      </c>
      <c r="H253" s="709">
        <v>5019</v>
      </c>
      <c r="I253" s="709" t="s">
        <v>921</v>
      </c>
      <c r="J253" s="709">
        <v>63300056</v>
      </c>
      <c r="K253" s="709" t="s">
        <v>1111</v>
      </c>
      <c r="L253" s="712">
        <v>44909.404789462722</v>
      </c>
      <c r="M253" s="712">
        <v>47455.923234000031</v>
      </c>
      <c r="N253" s="712">
        <v>48879.600931020032</v>
      </c>
      <c r="O253" s="712">
        <v>50345.988958950642</v>
      </c>
      <c r="P253" s="712">
        <v>50880.931033651585</v>
      </c>
    </row>
    <row r="254" spans="1:16" hidden="1">
      <c r="A254" s="709" t="s">
        <v>287</v>
      </c>
      <c r="B254" s="709" t="s">
        <v>670</v>
      </c>
      <c r="C254" s="709" t="s">
        <v>926</v>
      </c>
      <c r="D254" s="709" t="s">
        <v>927</v>
      </c>
      <c r="E254" s="709" t="s">
        <v>928</v>
      </c>
      <c r="F254" s="709" t="s">
        <v>929</v>
      </c>
      <c r="G254" s="709" t="s">
        <v>1110</v>
      </c>
      <c r="H254" s="709">
        <v>5019</v>
      </c>
      <c r="I254" s="709" t="s">
        <v>921</v>
      </c>
      <c r="J254" s="709">
        <v>63300056</v>
      </c>
      <c r="K254" s="709" t="s">
        <v>1111</v>
      </c>
      <c r="L254" s="712">
        <v>54433.784067118664</v>
      </c>
      <c r="M254" s="712">
        <v>57520.367729999962</v>
      </c>
      <c r="N254" s="712">
        <v>59245.978761899962</v>
      </c>
      <c r="O254" s="712">
        <v>61023.358124756953</v>
      </c>
      <c r="P254" s="712">
        <v>61671.750627823923</v>
      </c>
    </row>
    <row r="255" spans="1:16" hidden="1">
      <c r="A255" s="709" t="s">
        <v>287</v>
      </c>
      <c r="B255" s="709" t="s">
        <v>670</v>
      </c>
      <c r="C255" s="709" t="s">
        <v>930</v>
      </c>
      <c r="D255" s="709" t="s">
        <v>931</v>
      </c>
      <c r="E255" s="709" t="s">
        <v>932</v>
      </c>
      <c r="F255" s="709" t="s">
        <v>933</v>
      </c>
      <c r="G255" s="709" t="s">
        <v>1110</v>
      </c>
      <c r="H255" s="709">
        <v>5019</v>
      </c>
      <c r="I255" s="709" t="s">
        <v>921</v>
      </c>
      <c r="J255" s="709">
        <v>63300056</v>
      </c>
      <c r="K255" s="709" t="s">
        <v>1111</v>
      </c>
      <c r="L255" s="712">
        <v>92397.439096722344</v>
      </c>
      <c r="M255" s="712">
        <v>97636.693190399936</v>
      </c>
      <c r="N255" s="712">
        <v>100565.79398611192</v>
      </c>
      <c r="O255" s="712">
        <v>103582.76780569529</v>
      </c>
      <c r="P255" s="712">
        <v>104683.36751302099</v>
      </c>
    </row>
    <row r="256" spans="1:16" hidden="1">
      <c r="A256" s="709" t="s">
        <v>287</v>
      </c>
      <c r="B256" s="709" t="s">
        <v>670</v>
      </c>
      <c r="C256" s="709" t="s">
        <v>934</v>
      </c>
      <c r="D256" s="709" t="s">
        <v>935</v>
      </c>
      <c r="E256" s="709" t="s">
        <v>936</v>
      </c>
      <c r="F256" s="709" t="s">
        <v>937</v>
      </c>
      <c r="G256" s="709" t="s">
        <v>1110</v>
      </c>
      <c r="H256" s="709">
        <v>5019</v>
      </c>
      <c r="I256" s="709" t="s">
        <v>921</v>
      </c>
      <c r="J256" s="709">
        <v>63300056</v>
      </c>
      <c r="K256" s="709" t="s">
        <v>1111</v>
      </c>
      <c r="L256" s="712">
        <v>785635.49480929901</v>
      </c>
      <c r="M256" s="712">
        <v>830183.74227759975</v>
      </c>
      <c r="N256" s="712">
        <v>855089.25454592775</v>
      </c>
      <c r="O256" s="712">
        <v>880741.93218230549</v>
      </c>
      <c r="P256" s="712">
        <v>890100.09409788263</v>
      </c>
    </row>
    <row r="257" spans="1:16" hidden="1">
      <c r="A257" s="709" t="s">
        <v>287</v>
      </c>
      <c r="B257" s="709" t="s">
        <v>670</v>
      </c>
      <c r="C257" s="709" t="s">
        <v>938</v>
      </c>
      <c r="D257" s="709" t="s">
        <v>939</v>
      </c>
      <c r="E257" s="709" t="s">
        <v>940</v>
      </c>
      <c r="F257" s="709" t="s">
        <v>941</v>
      </c>
      <c r="G257" s="709" t="s">
        <v>1110</v>
      </c>
      <c r="H257" s="709">
        <v>5019</v>
      </c>
      <c r="I257" s="709" t="s">
        <v>921</v>
      </c>
      <c r="J257" s="709">
        <v>63300056</v>
      </c>
      <c r="K257" s="709" t="s">
        <v>1111</v>
      </c>
      <c r="L257" s="712">
        <v>40560.936513279987</v>
      </c>
      <c r="M257" s="712">
        <v>42860.881779600008</v>
      </c>
      <c r="N257" s="712">
        <v>44146.708232988007</v>
      </c>
      <c r="O257" s="712">
        <v>45471.109479977647</v>
      </c>
      <c r="P257" s="712">
        <v>45954.254416588301</v>
      </c>
    </row>
    <row r="258" spans="1:16" hidden="1">
      <c r="A258" s="709" t="s">
        <v>287</v>
      </c>
      <c r="B258" s="709" t="s">
        <v>670</v>
      </c>
      <c r="C258" s="709" t="s">
        <v>942</v>
      </c>
      <c r="D258" s="709" t="s">
        <v>943</v>
      </c>
      <c r="E258" s="709" t="s">
        <v>944</v>
      </c>
      <c r="F258" s="709" t="s">
        <v>945</v>
      </c>
      <c r="G258" s="709" t="s">
        <v>1110</v>
      </c>
      <c r="H258" s="709">
        <v>5019</v>
      </c>
      <c r="I258" s="709" t="s">
        <v>921</v>
      </c>
      <c r="J258" s="709">
        <v>63300056</v>
      </c>
      <c r="K258" s="709" t="s">
        <v>1111</v>
      </c>
      <c r="L258" s="712">
        <v>250853.54570348861</v>
      </c>
      <c r="M258" s="712">
        <v>265077.80861693079</v>
      </c>
      <c r="N258" s="712">
        <v>273030.14287543873</v>
      </c>
      <c r="O258" s="712">
        <v>281221.04716170189</v>
      </c>
      <c r="P258" s="712">
        <v>284209.10983618646</v>
      </c>
    </row>
    <row r="259" spans="1:16" hidden="1">
      <c r="A259" s="709" t="s">
        <v>287</v>
      </c>
      <c r="B259" s="709" t="s">
        <v>670</v>
      </c>
      <c r="C259" s="709" t="s">
        <v>946</v>
      </c>
      <c r="D259" s="709" t="s">
        <v>947</v>
      </c>
      <c r="E259" s="709" t="s">
        <v>948</v>
      </c>
      <c r="F259" s="709" t="s">
        <v>949</v>
      </c>
      <c r="G259" s="709" t="s">
        <v>1110</v>
      </c>
      <c r="H259" s="709">
        <v>5019</v>
      </c>
      <c r="I259" s="709" t="s">
        <v>921</v>
      </c>
      <c r="J259" s="709">
        <v>63300056</v>
      </c>
      <c r="K259" s="709" t="s">
        <v>1111</v>
      </c>
      <c r="L259" s="712">
        <v>2592.0942868610323</v>
      </c>
      <c r="M259" s="712">
        <v>2739.0749903999977</v>
      </c>
      <c r="N259" s="712">
        <v>2821.2472401119976</v>
      </c>
      <c r="O259" s="712">
        <v>2905.8846573153578</v>
      </c>
      <c r="P259" s="712">
        <v>2936.7606019450945</v>
      </c>
    </row>
    <row r="260" spans="1:16" hidden="1">
      <c r="A260" s="709" t="s">
        <v>403</v>
      </c>
      <c r="B260" s="709" t="s">
        <v>671</v>
      </c>
      <c r="C260" s="709" t="s">
        <v>950</v>
      </c>
      <c r="D260" s="709" t="s">
        <v>951</v>
      </c>
      <c r="E260" s="709" t="s">
        <v>952</v>
      </c>
      <c r="F260" s="709" t="s">
        <v>953</v>
      </c>
      <c r="G260" s="709" t="s">
        <v>1110</v>
      </c>
      <c r="H260" s="709">
        <v>5017</v>
      </c>
      <c r="I260" s="709" t="s">
        <v>954</v>
      </c>
      <c r="J260" s="709">
        <v>63300056</v>
      </c>
      <c r="K260" s="709" t="s">
        <v>1111</v>
      </c>
      <c r="L260" s="712">
        <v>59894.676400656776</v>
      </c>
      <c r="M260" s="712">
        <v>63290.911529999954</v>
      </c>
      <c r="N260" s="712">
        <v>65189.638875899953</v>
      </c>
      <c r="O260" s="712">
        <v>67145.32804217696</v>
      </c>
      <c r="P260" s="712">
        <v>67858.768414132777</v>
      </c>
    </row>
    <row r="261" spans="1:16" hidden="1">
      <c r="A261" s="709" t="s">
        <v>403</v>
      </c>
      <c r="B261" s="709" t="s">
        <v>671</v>
      </c>
      <c r="C261" s="709" t="s">
        <v>955</v>
      </c>
      <c r="D261" s="709" t="s">
        <v>956</v>
      </c>
      <c r="E261" s="709" t="s">
        <v>957</v>
      </c>
      <c r="F261" s="709" t="s">
        <v>958</v>
      </c>
      <c r="G261" s="709" t="s">
        <v>1110</v>
      </c>
      <c r="H261" s="709">
        <v>5017</v>
      </c>
      <c r="I261" s="709" t="s">
        <v>954</v>
      </c>
      <c r="J261" s="709">
        <v>63300056</v>
      </c>
      <c r="K261" s="709" t="s">
        <v>1111</v>
      </c>
      <c r="L261" s="712">
        <v>959.07181768263354</v>
      </c>
      <c r="M261" s="712">
        <v>1013.4545039999948</v>
      </c>
      <c r="N261" s="712">
        <v>1043.8581391199948</v>
      </c>
      <c r="O261" s="712">
        <v>1075.1738832935946</v>
      </c>
      <c r="P261" s="712">
        <v>1086.5979462564314</v>
      </c>
    </row>
    <row r="262" spans="1:16" hidden="1">
      <c r="A262" s="709" t="s">
        <v>403</v>
      </c>
      <c r="B262" s="709" t="s">
        <v>671</v>
      </c>
      <c r="C262" s="709" t="s">
        <v>959</v>
      </c>
      <c r="D262" s="709" t="s">
        <v>960</v>
      </c>
      <c r="E262" s="709" t="s">
        <v>961</v>
      </c>
      <c r="F262" s="709" t="s">
        <v>962</v>
      </c>
      <c r="G262" s="709" t="s">
        <v>1110</v>
      </c>
      <c r="H262" s="709">
        <v>5017</v>
      </c>
      <c r="I262" s="709" t="s">
        <v>954</v>
      </c>
      <c r="J262" s="709">
        <v>63300056</v>
      </c>
      <c r="K262" s="709" t="s">
        <v>1111</v>
      </c>
      <c r="L262" s="712">
        <v>17979.148387469693</v>
      </c>
      <c r="M262" s="712">
        <v>18998.628231400009</v>
      </c>
      <c r="N262" s="712">
        <v>19568.587078342014</v>
      </c>
      <c r="O262" s="712">
        <v>20155.644690692276</v>
      </c>
      <c r="P262" s="712">
        <v>20369.804797797631</v>
      </c>
    </row>
    <row r="263" spans="1:16" hidden="1">
      <c r="A263" s="709" t="s">
        <v>403</v>
      </c>
      <c r="B263" s="709" t="s">
        <v>671</v>
      </c>
      <c r="C263" s="709" t="s">
        <v>963</v>
      </c>
      <c r="D263" s="709" t="s">
        <v>964</v>
      </c>
      <c r="E263" s="709" t="s">
        <v>965</v>
      </c>
      <c r="F263" s="709" t="s">
        <v>966</v>
      </c>
      <c r="G263" s="709" t="s">
        <v>1110</v>
      </c>
      <c r="H263" s="709">
        <v>5017</v>
      </c>
      <c r="I263" s="709" t="s">
        <v>954</v>
      </c>
      <c r="J263" s="709">
        <v>63300056</v>
      </c>
      <c r="K263" s="709" t="s">
        <v>1111</v>
      </c>
      <c r="L263" s="712">
        <v>62436.95376289558</v>
      </c>
      <c r="M263" s="712">
        <v>65977.344803999804</v>
      </c>
      <c r="N263" s="712">
        <v>67956.665148119806</v>
      </c>
      <c r="O263" s="712">
        <v>69995.365102563403</v>
      </c>
      <c r="P263" s="712">
        <v>70739.088020747498</v>
      </c>
    </row>
    <row r="264" spans="1:16" hidden="1">
      <c r="A264" s="709" t="s">
        <v>403</v>
      </c>
      <c r="B264" s="709" t="s">
        <v>671</v>
      </c>
      <c r="C264" s="709" t="s">
        <v>967</v>
      </c>
      <c r="D264" s="709" t="s">
        <v>968</v>
      </c>
      <c r="E264" s="709" t="s">
        <v>969</v>
      </c>
      <c r="F264" s="709" t="s">
        <v>970</v>
      </c>
      <c r="G264" s="709" t="s">
        <v>1110</v>
      </c>
      <c r="H264" s="709">
        <v>5017</v>
      </c>
      <c r="I264" s="709" t="s">
        <v>954</v>
      </c>
      <c r="J264" s="709">
        <v>63300056</v>
      </c>
      <c r="K264" s="709" t="s">
        <v>1111</v>
      </c>
      <c r="L264" s="712">
        <v>57146.180364742082</v>
      </c>
      <c r="M264" s="712">
        <v>60386.566270899013</v>
      </c>
      <c r="N264" s="712">
        <v>62198.163259025983</v>
      </c>
      <c r="O264" s="712">
        <v>64064.108156796756</v>
      </c>
      <c r="P264" s="712">
        <v>64744.809591804908</v>
      </c>
    </row>
    <row r="265" spans="1:16" hidden="1">
      <c r="A265" s="709" t="s">
        <v>403</v>
      </c>
      <c r="B265" s="709" t="s">
        <v>671</v>
      </c>
      <c r="C265" s="709" t="s">
        <v>971</v>
      </c>
      <c r="D265" s="709" t="s">
        <v>972</v>
      </c>
      <c r="E265" s="709" t="s">
        <v>973</v>
      </c>
      <c r="F265" s="709" t="s">
        <v>974</v>
      </c>
      <c r="G265" s="709" t="s">
        <v>1110</v>
      </c>
      <c r="H265" s="709">
        <v>5017</v>
      </c>
      <c r="I265" s="709" t="s">
        <v>954</v>
      </c>
      <c r="J265" s="709">
        <v>63300056</v>
      </c>
      <c r="K265" s="709" t="s">
        <v>1111</v>
      </c>
      <c r="L265" s="712">
        <v>867184.59631852375</v>
      </c>
      <c r="M265" s="712">
        <v>916356.9596508008</v>
      </c>
      <c r="N265" s="712">
        <v>943847.66844032484</v>
      </c>
      <c r="O265" s="712">
        <v>972163.09849353461</v>
      </c>
      <c r="P265" s="712">
        <v>982492.63924959849</v>
      </c>
    </row>
    <row r="266" spans="1:16" hidden="1">
      <c r="A266" s="709" t="s">
        <v>403</v>
      </c>
      <c r="B266" s="709" t="s">
        <v>671</v>
      </c>
      <c r="C266" s="709" t="s">
        <v>975</v>
      </c>
      <c r="D266" s="709" t="s">
        <v>976</v>
      </c>
      <c r="E266" s="709" t="s">
        <v>977</v>
      </c>
      <c r="F266" s="709" t="s">
        <v>978</v>
      </c>
      <c r="G266" s="709" t="s">
        <v>1110</v>
      </c>
      <c r="H266" s="709">
        <v>5017</v>
      </c>
      <c r="I266" s="709" t="s">
        <v>954</v>
      </c>
      <c r="J266" s="709">
        <v>63300056</v>
      </c>
      <c r="K266" s="709" t="s">
        <v>1111</v>
      </c>
      <c r="L266" s="712">
        <v>16313.24682774519</v>
      </c>
      <c r="M266" s="712">
        <v>17238.264296399997</v>
      </c>
      <c r="N266" s="712">
        <v>17755.412225291999</v>
      </c>
      <c r="O266" s="712">
        <v>18288.074592050758</v>
      </c>
      <c r="P266" s="712">
        <v>18482.391175493656</v>
      </c>
    </row>
    <row r="267" spans="1:16" hidden="1">
      <c r="A267" s="709" t="s">
        <v>403</v>
      </c>
      <c r="B267" s="709" t="s">
        <v>671</v>
      </c>
      <c r="C267" s="709" t="s">
        <v>979</v>
      </c>
      <c r="D267" s="709" t="s">
        <v>980</v>
      </c>
      <c r="E267" s="709" t="s">
        <v>981</v>
      </c>
      <c r="F267" s="709" t="s">
        <v>982</v>
      </c>
      <c r="G267" s="709" t="s">
        <v>1110</v>
      </c>
      <c r="H267" s="709">
        <v>5017</v>
      </c>
      <c r="I267" s="709" t="s">
        <v>954</v>
      </c>
      <c r="J267" s="709">
        <v>63300056</v>
      </c>
      <c r="K267" s="709" t="s">
        <v>1111</v>
      </c>
      <c r="L267" s="712">
        <v>242702.20116122335</v>
      </c>
      <c r="M267" s="712">
        <v>256464.25467060041</v>
      </c>
      <c r="N267" s="712">
        <v>264158.1823107184</v>
      </c>
      <c r="O267" s="712">
        <v>272082.92778003996</v>
      </c>
      <c r="P267" s="712">
        <v>274973.89504251705</v>
      </c>
    </row>
    <row r="268" spans="1:16" hidden="1">
      <c r="A268" s="709" t="s">
        <v>403</v>
      </c>
      <c r="B268" s="709" t="s">
        <v>671</v>
      </c>
      <c r="C268" s="709" t="s">
        <v>983</v>
      </c>
      <c r="D268" s="709" t="s">
        <v>984</v>
      </c>
      <c r="E268" s="709" t="s">
        <v>985</v>
      </c>
      <c r="F268" s="709" t="s">
        <v>986</v>
      </c>
      <c r="G268" s="709" t="s">
        <v>1110</v>
      </c>
      <c r="H268" s="709">
        <v>5017</v>
      </c>
      <c r="I268" s="709" t="s">
        <v>954</v>
      </c>
      <c r="J268" s="709">
        <v>63300056</v>
      </c>
      <c r="K268" s="709" t="s">
        <v>1111</v>
      </c>
      <c r="L268" s="712">
        <v>2883.6956669273418</v>
      </c>
      <c r="M268" s="712">
        <v>3047.2111763999992</v>
      </c>
      <c r="N268" s="712">
        <v>3138.6275116919992</v>
      </c>
      <c r="O268" s="712">
        <v>3232.7863370427594</v>
      </c>
      <c r="P268" s="712">
        <v>3267.1357155327228</v>
      </c>
    </row>
    <row r="269" spans="1:16" hidden="1">
      <c r="A269" s="709" t="s">
        <v>397</v>
      </c>
      <c r="B269" s="709" t="s">
        <v>673</v>
      </c>
      <c r="C269" s="709" t="s">
        <v>987</v>
      </c>
      <c r="D269" s="709" t="s">
        <v>988</v>
      </c>
      <c r="E269" s="709" t="s">
        <v>989</v>
      </c>
      <c r="F269" s="709" t="s">
        <v>990</v>
      </c>
      <c r="G269" s="709" t="s">
        <v>1110</v>
      </c>
      <c r="H269" s="709">
        <v>5009</v>
      </c>
      <c r="I269" s="709" t="s">
        <v>991</v>
      </c>
      <c r="J269" s="709">
        <v>63300056</v>
      </c>
      <c r="K269" s="709" t="s">
        <v>1111</v>
      </c>
      <c r="L269" s="712">
        <v>659779.97798392968</v>
      </c>
      <c r="M269" s="712">
        <v>697191.78273059858</v>
      </c>
      <c r="N269" s="712">
        <v>718107.5362125166</v>
      </c>
      <c r="O269" s="712">
        <v>739650.76229889202</v>
      </c>
      <c r="P269" s="712">
        <v>747509.78585806594</v>
      </c>
    </row>
    <row r="270" spans="1:16" hidden="1">
      <c r="A270" s="709" t="s">
        <v>404</v>
      </c>
      <c r="B270" s="709" t="s">
        <v>673</v>
      </c>
      <c r="C270" s="709" t="s">
        <v>992</v>
      </c>
      <c r="D270" s="709" t="s">
        <v>993</v>
      </c>
      <c r="E270" s="709" t="s">
        <v>994</v>
      </c>
      <c r="F270" s="709" t="s">
        <v>995</v>
      </c>
      <c r="G270" s="709" t="s">
        <v>1110</v>
      </c>
      <c r="H270" s="709">
        <v>5009</v>
      </c>
      <c r="I270" s="709" t="s">
        <v>991</v>
      </c>
      <c r="J270" s="709">
        <v>63300056</v>
      </c>
      <c r="K270" s="709" t="s">
        <v>1111</v>
      </c>
      <c r="L270" s="712">
        <v>17334.575074368007</v>
      </c>
      <c r="M270" s="712">
        <v>18317.505383999996</v>
      </c>
      <c r="N270" s="712">
        <v>18867.030545519996</v>
      </c>
      <c r="O270" s="712">
        <v>19433.041461885598</v>
      </c>
      <c r="P270" s="712">
        <v>19639.523680873219</v>
      </c>
    </row>
    <row r="271" spans="1:16" hidden="1">
      <c r="A271" s="709" t="s">
        <v>542</v>
      </c>
      <c r="B271" s="709" t="s">
        <v>673</v>
      </c>
      <c r="C271" s="709" t="s">
        <v>996</v>
      </c>
      <c r="D271" s="709" t="s">
        <v>997</v>
      </c>
      <c r="E271" s="709" t="s">
        <v>998</v>
      </c>
      <c r="F271" s="709" t="s">
        <v>999</v>
      </c>
      <c r="G271" s="709" t="s">
        <v>1110</v>
      </c>
      <c r="H271" s="709">
        <v>5009</v>
      </c>
      <c r="I271" s="709" t="s">
        <v>991</v>
      </c>
      <c r="J271" s="709">
        <v>63300056</v>
      </c>
      <c r="K271" s="709" t="s">
        <v>1111</v>
      </c>
      <c r="L271" s="712">
        <v>65288.16593351659</v>
      </c>
      <c r="M271" s="712">
        <v>68990.230557600007</v>
      </c>
      <c r="N271" s="712">
        <v>71059.937474328006</v>
      </c>
      <c r="O271" s="712">
        <v>73191.735598557847</v>
      </c>
      <c r="P271" s="712">
        <v>73969.420965389727</v>
      </c>
    </row>
    <row r="272" spans="1:16" hidden="1">
      <c r="A272" s="709" t="s">
        <v>542</v>
      </c>
      <c r="B272" s="709" t="s">
        <v>673</v>
      </c>
      <c r="C272" s="709" t="s">
        <v>1000</v>
      </c>
      <c r="D272" s="709" t="s">
        <v>1001</v>
      </c>
      <c r="E272" s="709" t="s">
        <v>1002</v>
      </c>
      <c r="F272" s="709" t="s">
        <v>1003</v>
      </c>
      <c r="G272" s="709" t="s">
        <v>1110</v>
      </c>
      <c r="H272" s="709">
        <v>5009</v>
      </c>
      <c r="I272" s="709" t="s">
        <v>991</v>
      </c>
      <c r="J272" s="709">
        <v>63300056</v>
      </c>
      <c r="K272" s="709" t="s">
        <v>1111</v>
      </c>
      <c r="L272" s="712">
        <v>9072.3009733524286</v>
      </c>
      <c r="M272" s="712">
        <v>9586.7317895999968</v>
      </c>
      <c r="N272" s="712">
        <v>9874.3337432879962</v>
      </c>
      <c r="O272" s="712">
        <v>10170.563755586636</v>
      </c>
      <c r="P272" s="712">
        <v>10278.629215989604</v>
      </c>
    </row>
    <row r="273" spans="1:16" hidden="1">
      <c r="A273" s="709" t="s">
        <v>542</v>
      </c>
      <c r="B273" s="709" t="s">
        <v>673</v>
      </c>
      <c r="C273" s="709" t="s">
        <v>1004</v>
      </c>
      <c r="D273" s="709" t="s">
        <v>1005</v>
      </c>
      <c r="E273" s="709" t="s">
        <v>1006</v>
      </c>
      <c r="F273" s="709" t="s">
        <v>1007</v>
      </c>
      <c r="G273" s="709" t="s">
        <v>1110</v>
      </c>
      <c r="H273" s="709">
        <v>5009</v>
      </c>
      <c r="I273" s="709" t="s">
        <v>991</v>
      </c>
      <c r="J273" s="709">
        <v>63300056</v>
      </c>
      <c r="K273" s="709" t="s">
        <v>1111</v>
      </c>
      <c r="L273" s="712">
        <v>31105.031908636913</v>
      </c>
      <c r="M273" s="712">
        <v>32868.794707200002</v>
      </c>
      <c r="N273" s="712">
        <v>33854.858548416007</v>
      </c>
      <c r="O273" s="712">
        <v>34870.504304868489</v>
      </c>
      <c r="P273" s="712">
        <v>35241.014454821518</v>
      </c>
    </row>
    <row r="274" spans="1:16" hidden="1">
      <c r="A274" s="709" t="s">
        <v>542</v>
      </c>
      <c r="B274" s="709" t="s">
        <v>673</v>
      </c>
      <c r="C274" s="709" t="s">
        <v>1008</v>
      </c>
      <c r="D274" s="709" t="s">
        <v>1009</v>
      </c>
      <c r="E274" s="709" t="s">
        <v>1010</v>
      </c>
      <c r="F274" s="709" t="s">
        <v>1011</v>
      </c>
      <c r="G274" s="709" t="s">
        <v>1110</v>
      </c>
      <c r="H274" s="709">
        <v>5009</v>
      </c>
      <c r="I274" s="709" t="s">
        <v>991</v>
      </c>
      <c r="J274" s="709">
        <v>63300056</v>
      </c>
      <c r="K274" s="709" t="s">
        <v>1111</v>
      </c>
      <c r="L274" s="712">
        <v>57511.907956357383</v>
      </c>
      <c r="M274" s="712">
        <v>60773.03188080003</v>
      </c>
      <c r="N274" s="712">
        <v>62596.222837224035</v>
      </c>
      <c r="O274" s="712">
        <v>64474.109522340754</v>
      </c>
      <c r="P274" s="712">
        <v>65159.167351684373</v>
      </c>
    </row>
    <row r="275" spans="1:16" hidden="1">
      <c r="A275" s="709" t="s">
        <v>542</v>
      </c>
      <c r="B275" s="709" t="s">
        <v>673</v>
      </c>
      <c r="C275" s="709" t="s">
        <v>1012</v>
      </c>
      <c r="D275" s="709" t="s">
        <v>1013</v>
      </c>
      <c r="E275" s="709" t="s">
        <v>1014</v>
      </c>
      <c r="F275" s="709" t="s">
        <v>1015</v>
      </c>
      <c r="G275" s="709" t="s">
        <v>1110</v>
      </c>
      <c r="H275" s="709">
        <v>5009</v>
      </c>
      <c r="I275" s="709" t="s">
        <v>991</v>
      </c>
      <c r="J275" s="709">
        <v>63300056</v>
      </c>
      <c r="K275" s="709" t="s">
        <v>1111</v>
      </c>
      <c r="L275" s="712">
        <v>226888.52702149868</v>
      </c>
      <c r="M275" s="712">
        <v>239753.89055999997</v>
      </c>
      <c r="N275" s="712">
        <v>246946.50727679997</v>
      </c>
      <c r="O275" s="712">
        <v>254354.90249510398</v>
      </c>
      <c r="P275" s="712">
        <v>257057.50387536539</v>
      </c>
    </row>
    <row r="276" spans="1:16" hidden="1">
      <c r="A276" s="709" t="s">
        <v>542</v>
      </c>
      <c r="B276" s="709" t="s">
        <v>673</v>
      </c>
      <c r="C276" s="709" t="s">
        <v>1016</v>
      </c>
      <c r="D276" s="709" t="s">
        <v>1017</v>
      </c>
      <c r="E276" s="709" t="s">
        <v>1018</v>
      </c>
      <c r="F276" s="709" t="s">
        <v>1019</v>
      </c>
      <c r="G276" s="709" t="s">
        <v>1110</v>
      </c>
      <c r="H276" s="709">
        <v>5009</v>
      </c>
      <c r="I276" s="709" t="s">
        <v>991</v>
      </c>
      <c r="J276" s="709">
        <v>63300056</v>
      </c>
      <c r="K276" s="709" t="s">
        <v>1111</v>
      </c>
      <c r="L276" s="712">
        <v>86736.899615194023</v>
      </c>
      <c r="M276" s="712">
        <v>91655.181559200064</v>
      </c>
      <c r="N276" s="712">
        <v>94404.837005976064</v>
      </c>
      <c r="O276" s="712">
        <v>97236.982116155341</v>
      </c>
      <c r="P276" s="712">
        <v>98270.155841142361</v>
      </c>
    </row>
    <row r="277" spans="1:16" hidden="1">
      <c r="A277" s="709" t="s">
        <v>400</v>
      </c>
      <c r="B277" s="709" t="s">
        <v>673</v>
      </c>
      <c r="C277" s="709" t="s">
        <v>1020</v>
      </c>
      <c r="D277" s="709" t="s">
        <v>1021</v>
      </c>
      <c r="E277" s="709" t="s">
        <v>1022</v>
      </c>
      <c r="F277" s="709" t="s">
        <v>1023</v>
      </c>
      <c r="G277" s="709" t="s">
        <v>1110</v>
      </c>
      <c r="H277" s="709">
        <v>5009</v>
      </c>
      <c r="I277" s="709" t="s">
        <v>991</v>
      </c>
      <c r="J277" s="709">
        <v>63300056</v>
      </c>
      <c r="K277" s="709" t="s">
        <v>1111</v>
      </c>
      <c r="L277" s="712">
        <v>2256.3718719397011</v>
      </c>
      <c r="M277" s="712">
        <v>2384.3159544000819</v>
      </c>
      <c r="N277" s="712">
        <v>2455.8454330320847</v>
      </c>
      <c r="O277" s="712">
        <v>2529.5207960230468</v>
      </c>
      <c r="P277" s="712">
        <v>2556.3977554512749</v>
      </c>
    </row>
    <row r="278" spans="1:16" hidden="1">
      <c r="A278" s="709" t="s">
        <v>400</v>
      </c>
      <c r="B278" s="709" t="s">
        <v>673</v>
      </c>
      <c r="C278" s="709" t="s">
        <v>1024</v>
      </c>
      <c r="D278" s="709" t="s">
        <v>1025</v>
      </c>
      <c r="E278" s="709" t="s">
        <v>1026</v>
      </c>
      <c r="F278" s="709" t="s">
        <v>1027</v>
      </c>
      <c r="G278" s="709" t="s">
        <v>1110</v>
      </c>
      <c r="H278" s="709">
        <v>5009</v>
      </c>
      <c r="I278" s="709" t="s">
        <v>991</v>
      </c>
      <c r="J278" s="709">
        <v>63300056</v>
      </c>
      <c r="K278" s="709" t="s">
        <v>1111</v>
      </c>
      <c r="L278" s="712">
        <v>20503.02792267843</v>
      </c>
      <c r="M278" s="712">
        <v>21665.620458000001</v>
      </c>
      <c r="N278" s="712">
        <v>22315.589071740003</v>
      </c>
      <c r="O278" s="712">
        <v>22985.056743892204</v>
      </c>
      <c r="P278" s="712">
        <v>23229.28024999359</v>
      </c>
    </row>
    <row r="279" spans="1:16" hidden="1">
      <c r="A279" s="709" t="s">
        <v>400</v>
      </c>
      <c r="B279" s="709" t="s">
        <v>673</v>
      </c>
      <c r="C279" s="709" t="s">
        <v>1028</v>
      </c>
      <c r="D279" s="709" t="s">
        <v>1029</v>
      </c>
      <c r="E279" s="709" t="s">
        <v>1030</v>
      </c>
      <c r="F279" s="709" t="s">
        <v>1031</v>
      </c>
      <c r="G279" s="709" t="s">
        <v>1110</v>
      </c>
      <c r="H279" s="709">
        <v>5009</v>
      </c>
      <c r="I279" s="709" t="s">
        <v>991</v>
      </c>
      <c r="J279" s="709">
        <v>63300056</v>
      </c>
      <c r="K279" s="709" t="s">
        <v>1111</v>
      </c>
      <c r="L279" s="712">
        <v>60226.526315702969</v>
      </c>
      <c r="M279" s="712">
        <v>63641.578481999655</v>
      </c>
      <c r="N279" s="712">
        <v>65550.825836459655</v>
      </c>
      <c r="O279" s="712">
        <v>67517.35061155344</v>
      </c>
      <c r="P279" s="712">
        <v>68234.743841109492</v>
      </c>
    </row>
    <row r="280" spans="1:16" hidden="1">
      <c r="A280" s="709" t="s">
        <v>400</v>
      </c>
      <c r="B280" s="709" t="s">
        <v>673</v>
      </c>
      <c r="C280" s="709" t="s">
        <v>1032</v>
      </c>
      <c r="D280" s="709" t="s">
        <v>1033</v>
      </c>
      <c r="E280" s="709" t="s">
        <v>1034</v>
      </c>
      <c r="F280" s="709" t="s">
        <v>1035</v>
      </c>
      <c r="G280" s="709" t="s">
        <v>1110</v>
      </c>
      <c r="H280" s="709">
        <v>5009</v>
      </c>
      <c r="I280" s="709" t="s">
        <v>991</v>
      </c>
      <c r="J280" s="709">
        <v>63300056</v>
      </c>
      <c r="K280" s="709" t="s">
        <v>1111</v>
      </c>
      <c r="L280" s="712">
        <v>402641.00332920172</v>
      </c>
      <c r="M280" s="712">
        <v>425472.13962040009</v>
      </c>
      <c r="N280" s="712">
        <v>438236.30380901211</v>
      </c>
      <c r="O280" s="712">
        <v>451383.39292328246</v>
      </c>
      <c r="P280" s="712">
        <v>456179.48440323741</v>
      </c>
    </row>
    <row r="281" spans="1:16" hidden="1">
      <c r="A281" s="709" t="s">
        <v>396</v>
      </c>
      <c r="B281" s="709" t="s">
        <v>673</v>
      </c>
      <c r="C281" s="709" t="s">
        <v>1036</v>
      </c>
      <c r="D281" s="709" t="s">
        <v>1037</v>
      </c>
      <c r="E281" s="709" t="s">
        <v>1038</v>
      </c>
      <c r="F281" s="709" t="s">
        <v>1039</v>
      </c>
      <c r="G281" s="709" t="s">
        <v>1110</v>
      </c>
      <c r="H281" s="709">
        <v>5009</v>
      </c>
      <c r="I281" s="709" t="s">
        <v>991</v>
      </c>
      <c r="J281" s="709">
        <v>63300056</v>
      </c>
      <c r="K281" s="709" t="s">
        <v>1111</v>
      </c>
      <c r="L281" s="712">
        <v>6480.2139441566887</v>
      </c>
      <c r="M281" s="712">
        <v>6847.6644683999939</v>
      </c>
      <c r="N281" s="712">
        <v>7053.094402451994</v>
      </c>
      <c r="O281" s="712">
        <v>7264.6872345255542</v>
      </c>
      <c r="P281" s="712">
        <v>7341.876836749062</v>
      </c>
    </row>
    <row r="282" spans="1:16" hidden="1">
      <c r="A282" s="709" t="s">
        <v>541</v>
      </c>
      <c r="B282" s="709" t="s">
        <v>673</v>
      </c>
      <c r="C282" s="709" t="s">
        <v>1040</v>
      </c>
      <c r="D282" s="709" t="s">
        <v>1041</v>
      </c>
      <c r="E282" s="709" t="s">
        <v>1042</v>
      </c>
      <c r="F282" s="709" t="s">
        <v>1043</v>
      </c>
      <c r="G282" s="709" t="s">
        <v>1110</v>
      </c>
      <c r="H282" s="709">
        <v>5009</v>
      </c>
      <c r="I282" s="709" t="s">
        <v>991</v>
      </c>
      <c r="J282" s="709">
        <v>63300056</v>
      </c>
      <c r="K282" s="709" t="s">
        <v>1111</v>
      </c>
      <c r="L282" s="712">
        <v>61157.024735771491</v>
      </c>
      <c r="M282" s="712">
        <v>64624.839378000011</v>
      </c>
      <c r="N282" s="712">
        <v>66563.584559340015</v>
      </c>
      <c r="O282" s="712">
        <v>68560.492096120215</v>
      </c>
      <c r="P282" s="712">
        <v>69288.9690342596</v>
      </c>
    </row>
    <row r="283" spans="1:16" hidden="1">
      <c r="A283" s="709" t="s">
        <v>541</v>
      </c>
      <c r="B283" s="709" t="s">
        <v>673</v>
      </c>
      <c r="C283" s="709" t="s">
        <v>1044</v>
      </c>
      <c r="D283" s="709" t="s">
        <v>1045</v>
      </c>
      <c r="E283" s="709" t="s">
        <v>1046</v>
      </c>
      <c r="F283" s="709" t="s">
        <v>1047</v>
      </c>
      <c r="G283" s="709" t="s">
        <v>1110</v>
      </c>
      <c r="H283" s="709">
        <v>5009</v>
      </c>
      <c r="I283" s="709" t="s">
        <v>991</v>
      </c>
      <c r="J283" s="709">
        <v>63300056</v>
      </c>
      <c r="K283" s="709" t="s">
        <v>1111</v>
      </c>
      <c r="L283" s="712">
        <v>12312.40431659814</v>
      </c>
      <c r="M283" s="712">
        <v>13010.56018920001</v>
      </c>
      <c r="N283" s="712">
        <v>13400.876994876013</v>
      </c>
      <c r="O283" s="712">
        <v>13802.903304722293</v>
      </c>
      <c r="P283" s="712">
        <v>13949.563523011875</v>
      </c>
    </row>
    <row r="284" spans="1:16" hidden="1">
      <c r="A284" s="709" t="s">
        <v>541</v>
      </c>
      <c r="B284" s="709" t="s">
        <v>673</v>
      </c>
      <c r="C284" s="709" t="s">
        <v>1048</v>
      </c>
      <c r="D284" s="709" t="s">
        <v>1049</v>
      </c>
      <c r="E284" s="709" t="s">
        <v>1050</v>
      </c>
      <c r="F284" s="709" t="s">
        <v>1051</v>
      </c>
      <c r="G284" s="709" t="s">
        <v>1110</v>
      </c>
      <c r="H284" s="709">
        <v>5009</v>
      </c>
      <c r="I284" s="709" t="s">
        <v>991</v>
      </c>
      <c r="J284" s="709">
        <v>63300056</v>
      </c>
      <c r="K284" s="709" t="s">
        <v>1111</v>
      </c>
      <c r="L284" s="712">
        <v>6480.2030570909374</v>
      </c>
      <c r="M284" s="712">
        <v>6847.6529639999926</v>
      </c>
      <c r="N284" s="712">
        <v>7053.0825529199928</v>
      </c>
      <c r="O284" s="712">
        <v>7264.6750295075926</v>
      </c>
      <c r="P284" s="712">
        <v>7341.8645020489203</v>
      </c>
    </row>
    <row r="285" spans="1:16" hidden="1">
      <c r="A285" s="709" t="s">
        <v>541</v>
      </c>
      <c r="B285" s="709" t="s">
        <v>673</v>
      </c>
      <c r="C285" s="709" t="s">
        <v>1052</v>
      </c>
      <c r="D285" s="709" t="s">
        <v>1053</v>
      </c>
      <c r="E285" s="709" t="s">
        <v>1054</v>
      </c>
      <c r="F285" s="709" t="s">
        <v>1055</v>
      </c>
      <c r="G285" s="709" t="s">
        <v>1110</v>
      </c>
      <c r="H285" s="709">
        <v>5009</v>
      </c>
      <c r="I285" s="709" t="s">
        <v>991</v>
      </c>
      <c r="J285" s="709">
        <v>63300056</v>
      </c>
      <c r="K285" s="709" t="s">
        <v>1111</v>
      </c>
      <c r="L285" s="712">
        <v>68285.262251643318</v>
      </c>
      <c r="M285" s="712">
        <v>72157.272593999878</v>
      </c>
      <c r="N285" s="712">
        <v>74321.990771819881</v>
      </c>
      <c r="O285" s="712">
        <v>76551.650494974485</v>
      </c>
      <c r="P285" s="712">
        <v>77365.036021494816</v>
      </c>
    </row>
    <row r="286" spans="1:16" hidden="1">
      <c r="A286" s="709" t="s">
        <v>541</v>
      </c>
      <c r="B286" s="709" t="s">
        <v>673</v>
      </c>
      <c r="C286" s="709" t="s">
        <v>1056</v>
      </c>
      <c r="D286" s="709" t="s">
        <v>1057</v>
      </c>
      <c r="E286" s="709" t="s">
        <v>1058</v>
      </c>
      <c r="F286" s="709" t="s">
        <v>1059</v>
      </c>
      <c r="G286" s="709" t="s">
        <v>1110</v>
      </c>
      <c r="H286" s="709">
        <v>5009</v>
      </c>
      <c r="I286" s="709" t="s">
        <v>991</v>
      </c>
      <c r="J286" s="709">
        <v>63300056</v>
      </c>
      <c r="K286" s="709" t="s">
        <v>1111</v>
      </c>
      <c r="L286" s="712">
        <v>170348.651312854</v>
      </c>
      <c r="M286" s="712">
        <v>180008.0085143999</v>
      </c>
      <c r="N286" s="712">
        <v>185408.24876983187</v>
      </c>
      <c r="O286" s="712">
        <v>190970.49623292685</v>
      </c>
      <c r="P286" s="712">
        <v>192999.61822603745</v>
      </c>
    </row>
    <row r="287" spans="1:16" hidden="1">
      <c r="A287" s="709" t="s">
        <v>541</v>
      </c>
      <c r="B287" s="709" t="s">
        <v>673</v>
      </c>
      <c r="C287" s="709" t="s">
        <v>1060</v>
      </c>
      <c r="D287" s="709" t="s">
        <v>1061</v>
      </c>
      <c r="E287" s="709" t="s">
        <v>1062</v>
      </c>
      <c r="F287" s="709" t="s">
        <v>1063</v>
      </c>
      <c r="G287" s="709" t="s">
        <v>1110</v>
      </c>
      <c r="H287" s="709">
        <v>5009</v>
      </c>
      <c r="I287" s="709" t="s">
        <v>991</v>
      </c>
      <c r="J287" s="709">
        <v>63300056</v>
      </c>
      <c r="K287" s="709" t="s">
        <v>1111</v>
      </c>
      <c r="L287" s="712">
        <v>1296.0429961932039</v>
      </c>
      <c r="M287" s="712">
        <v>1369.5331127999993</v>
      </c>
      <c r="N287" s="712">
        <v>1410.6191061839993</v>
      </c>
      <c r="O287" s="712">
        <v>1452.9376793695192</v>
      </c>
      <c r="P287" s="712">
        <v>1468.3756022842288</v>
      </c>
    </row>
    <row r="288" spans="1:16" hidden="1">
      <c r="A288" s="709" t="s">
        <v>397</v>
      </c>
      <c r="B288" s="709" t="s">
        <v>1064</v>
      </c>
      <c r="C288" s="709" t="s">
        <v>1065</v>
      </c>
      <c r="D288" s="709" t="s">
        <v>1066</v>
      </c>
      <c r="E288" s="709" t="s">
        <v>1067</v>
      </c>
      <c r="F288" s="709" t="s">
        <v>1068</v>
      </c>
      <c r="G288" s="709" t="s">
        <v>1110</v>
      </c>
      <c r="H288" s="709">
        <v>5008</v>
      </c>
      <c r="I288" s="709" t="s">
        <v>1069</v>
      </c>
      <c r="J288" s="709">
        <v>63300056</v>
      </c>
      <c r="K288" s="709" t="s">
        <v>1111</v>
      </c>
      <c r="L288" s="712">
        <v>164523.32808626763</v>
      </c>
      <c r="M288" s="712">
        <v>173852.36933035569</v>
      </c>
      <c r="N288" s="712">
        <v>179067.94041026637</v>
      </c>
      <c r="O288" s="712">
        <v>184439.97862257436</v>
      </c>
      <c r="P288" s="712">
        <v>186399.71179819244</v>
      </c>
    </row>
    <row r="289" spans="1:16" hidden="1">
      <c r="A289" s="709" t="s">
        <v>406</v>
      </c>
      <c r="B289" s="709" t="s">
        <v>664</v>
      </c>
      <c r="C289" s="709" t="s">
        <v>790</v>
      </c>
      <c r="D289" s="709" t="s">
        <v>791</v>
      </c>
      <c r="E289" s="709" t="s">
        <v>792</v>
      </c>
      <c r="F289" s="709" t="s">
        <v>793</v>
      </c>
      <c r="G289" s="709" t="s">
        <v>1110</v>
      </c>
      <c r="H289" s="709">
        <v>5240</v>
      </c>
      <c r="I289" s="709" t="s">
        <v>785</v>
      </c>
      <c r="J289" s="709">
        <v>63300052</v>
      </c>
      <c r="K289" s="709" t="s">
        <v>1112</v>
      </c>
      <c r="L289" s="712">
        <v>116618.02135354046</v>
      </c>
      <c r="M289" s="712">
        <v>123230.66616000015</v>
      </c>
      <c r="N289" s="712">
        <v>126927.58614480017</v>
      </c>
      <c r="O289" s="712">
        <v>130735.41372914417</v>
      </c>
      <c r="P289" s="712">
        <v>132124.51889726741</v>
      </c>
    </row>
    <row r="290" spans="1:16" hidden="1">
      <c r="A290" s="709" t="s">
        <v>593</v>
      </c>
      <c r="B290" s="709" t="s">
        <v>665</v>
      </c>
      <c r="C290" s="709" t="s">
        <v>815</v>
      </c>
      <c r="D290" s="709" t="s">
        <v>816</v>
      </c>
      <c r="E290" s="709" t="s">
        <v>817</v>
      </c>
      <c r="F290" s="709" t="s">
        <v>818</v>
      </c>
      <c r="G290" s="709" t="s">
        <v>1110</v>
      </c>
      <c r="H290" s="709">
        <v>5150</v>
      </c>
      <c r="I290" s="709" t="s">
        <v>806</v>
      </c>
      <c r="J290" s="709">
        <v>63300052</v>
      </c>
      <c r="K290" s="709" t="s">
        <v>1112</v>
      </c>
      <c r="L290" s="712">
        <v>376579.02728747699</v>
      </c>
      <c r="M290" s="712">
        <v>397932.35947500321</v>
      </c>
      <c r="N290" s="712">
        <v>409870.33025925327</v>
      </c>
      <c r="O290" s="712">
        <v>422166.4401670309</v>
      </c>
      <c r="P290" s="712">
        <v>426652.09227242891</v>
      </c>
    </row>
    <row r="291" spans="1:16" hidden="1">
      <c r="A291" s="709" t="s">
        <v>398</v>
      </c>
      <c r="B291" s="709" t="s">
        <v>667</v>
      </c>
      <c r="C291" s="709" t="s">
        <v>836</v>
      </c>
      <c r="D291" s="709" t="s">
        <v>837</v>
      </c>
      <c r="E291" s="709" t="s">
        <v>838</v>
      </c>
      <c r="F291" s="709" t="s">
        <v>839</v>
      </c>
      <c r="G291" s="709" t="s">
        <v>1110</v>
      </c>
      <c r="H291" s="709">
        <v>5025</v>
      </c>
      <c r="I291" s="709" t="s">
        <v>840</v>
      </c>
      <c r="J291" s="709">
        <v>63300052</v>
      </c>
      <c r="K291" s="709" t="s">
        <v>1112</v>
      </c>
      <c r="L291" s="712">
        <v>6945.0643891467907</v>
      </c>
      <c r="M291" s="712">
        <v>7338.8735400000041</v>
      </c>
      <c r="N291" s="712">
        <v>7559.0397462000055</v>
      </c>
      <c r="O291" s="712">
        <v>7785.8109385860062</v>
      </c>
      <c r="P291" s="712">
        <v>7868.5376451785087</v>
      </c>
    </row>
    <row r="292" spans="1:16" hidden="1">
      <c r="A292" s="709" t="s">
        <v>398</v>
      </c>
      <c r="B292" s="709" t="s">
        <v>667</v>
      </c>
      <c r="C292" s="709" t="s">
        <v>849</v>
      </c>
      <c r="D292" s="709" t="s">
        <v>850</v>
      </c>
      <c r="E292" s="709" t="s">
        <v>851</v>
      </c>
      <c r="F292" s="709" t="s">
        <v>852</v>
      </c>
      <c r="G292" s="709" t="s">
        <v>1110</v>
      </c>
      <c r="H292" s="709">
        <v>5025</v>
      </c>
      <c r="I292" s="709" t="s">
        <v>840</v>
      </c>
      <c r="J292" s="709">
        <v>63300052</v>
      </c>
      <c r="K292" s="709" t="s">
        <v>1112</v>
      </c>
      <c r="L292" s="712">
        <v>81990.31069074999</v>
      </c>
      <c r="M292" s="712">
        <v>86639.444640000831</v>
      </c>
      <c r="N292" s="712">
        <v>89238.627979200857</v>
      </c>
      <c r="O292" s="712">
        <v>91915.786818576875</v>
      </c>
      <c r="P292" s="712">
        <v>92892.421158575424</v>
      </c>
    </row>
    <row r="293" spans="1:16" hidden="1">
      <c r="A293" s="709" t="s">
        <v>398</v>
      </c>
      <c r="B293" s="709" t="s">
        <v>667</v>
      </c>
      <c r="C293" s="709" t="s">
        <v>861</v>
      </c>
      <c r="D293" s="709" t="s">
        <v>862</v>
      </c>
      <c r="E293" s="709" t="s">
        <v>863</v>
      </c>
      <c r="F293" s="709" t="s">
        <v>864</v>
      </c>
      <c r="G293" s="709" t="s">
        <v>1110</v>
      </c>
      <c r="H293" s="709">
        <v>5025</v>
      </c>
      <c r="I293" s="709" t="s">
        <v>840</v>
      </c>
      <c r="J293" s="709">
        <v>63300052</v>
      </c>
      <c r="K293" s="709" t="s">
        <v>1112</v>
      </c>
      <c r="L293" s="712">
        <v>430690.28234007594</v>
      </c>
      <c r="M293" s="712">
        <v>455111.90968079993</v>
      </c>
      <c r="N293" s="712">
        <v>468765.26697122393</v>
      </c>
      <c r="O293" s="712">
        <v>482828.22498036065</v>
      </c>
      <c r="P293" s="712">
        <v>487958.42775789986</v>
      </c>
    </row>
    <row r="294" spans="1:16" hidden="1">
      <c r="A294" s="709" t="s">
        <v>399</v>
      </c>
      <c r="B294" s="709" t="s">
        <v>668</v>
      </c>
      <c r="C294" s="709" t="s">
        <v>892</v>
      </c>
      <c r="D294" s="709" t="s">
        <v>893</v>
      </c>
      <c r="E294" s="709" t="s">
        <v>894</v>
      </c>
      <c r="F294" s="709" t="s">
        <v>895</v>
      </c>
      <c r="G294" s="709" t="s">
        <v>1110</v>
      </c>
      <c r="H294" s="709">
        <v>5021</v>
      </c>
      <c r="I294" s="709" t="s">
        <v>883</v>
      </c>
      <c r="J294" s="709">
        <v>63300052</v>
      </c>
      <c r="K294" s="709" t="s">
        <v>1112</v>
      </c>
      <c r="L294" s="712">
        <v>580687.03098866087</v>
      </c>
      <c r="M294" s="712">
        <v>613613.9923200031</v>
      </c>
      <c r="N294" s="712">
        <v>632022.41208960325</v>
      </c>
      <c r="O294" s="712">
        <v>650983.08445229137</v>
      </c>
      <c r="P294" s="712">
        <v>657899.98585780477</v>
      </c>
    </row>
    <row r="295" spans="1:16" hidden="1">
      <c r="A295" s="709" t="s">
        <v>399</v>
      </c>
      <c r="B295" s="709" t="s">
        <v>668</v>
      </c>
      <c r="C295" s="709" t="s">
        <v>896</v>
      </c>
      <c r="D295" s="709" t="s">
        <v>897</v>
      </c>
      <c r="E295" s="709" t="s">
        <v>898</v>
      </c>
      <c r="F295" s="709" t="s">
        <v>899</v>
      </c>
      <c r="G295" s="709" t="s">
        <v>1110</v>
      </c>
      <c r="H295" s="709">
        <v>5021</v>
      </c>
      <c r="I295" s="709" t="s">
        <v>883</v>
      </c>
      <c r="J295" s="709">
        <v>63300052</v>
      </c>
      <c r="K295" s="709" t="s">
        <v>1112</v>
      </c>
      <c r="L295" s="712">
        <v>46150.513833384401</v>
      </c>
      <c r="M295" s="712">
        <v>48767.40744960001</v>
      </c>
      <c r="N295" s="712">
        <v>50230.429673088016</v>
      </c>
      <c r="O295" s="712">
        <v>51737.342563280654</v>
      </c>
      <c r="P295" s="712">
        <v>52287.068210598467</v>
      </c>
    </row>
    <row r="296" spans="1:16" hidden="1">
      <c r="A296" s="709" t="s">
        <v>287</v>
      </c>
      <c r="B296" s="709" t="s">
        <v>670</v>
      </c>
      <c r="C296" s="709" t="s">
        <v>934</v>
      </c>
      <c r="D296" s="709" t="s">
        <v>935</v>
      </c>
      <c r="E296" s="709" t="s">
        <v>936</v>
      </c>
      <c r="F296" s="709" t="s">
        <v>937</v>
      </c>
      <c r="G296" s="709" t="s">
        <v>1110</v>
      </c>
      <c r="H296" s="709">
        <v>5019</v>
      </c>
      <c r="I296" s="709" t="s">
        <v>921</v>
      </c>
      <c r="J296" s="709">
        <v>63300052</v>
      </c>
      <c r="K296" s="709" t="s">
        <v>1112</v>
      </c>
      <c r="L296" s="712">
        <v>559463.29647805309</v>
      </c>
      <c r="M296" s="712">
        <v>591186.79871999973</v>
      </c>
      <c r="N296" s="712">
        <v>608922.40268159972</v>
      </c>
      <c r="O296" s="712">
        <v>627190.07476204773</v>
      </c>
      <c r="P296" s="712">
        <v>633854.1679055671</v>
      </c>
    </row>
    <row r="297" spans="1:16" hidden="1">
      <c r="A297" s="709" t="s">
        <v>403</v>
      </c>
      <c r="B297" s="709" t="s">
        <v>671</v>
      </c>
      <c r="C297" s="709" t="s">
        <v>971</v>
      </c>
      <c r="D297" s="709" t="s">
        <v>972</v>
      </c>
      <c r="E297" s="709" t="s">
        <v>973</v>
      </c>
      <c r="F297" s="709" t="s">
        <v>974</v>
      </c>
      <c r="G297" s="709" t="s">
        <v>1110</v>
      </c>
      <c r="H297" s="709">
        <v>5017</v>
      </c>
      <c r="I297" s="709" t="s">
        <v>954</v>
      </c>
      <c r="J297" s="709">
        <v>63300052</v>
      </c>
      <c r="K297" s="709" t="s">
        <v>1112</v>
      </c>
      <c r="L297" s="712">
        <v>655961.2757464475</v>
      </c>
      <c r="M297" s="712">
        <v>693156.54688000062</v>
      </c>
      <c r="N297" s="712">
        <v>713951.24328640068</v>
      </c>
      <c r="O297" s="712">
        <v>735369.78058499284</v>
      </c>
      <c r="P297" s="712">
        <v>743183.31735788751</v>
      </c>
    </row>
    <row r="298" spans="1:16" hidden="1">
      <c r="A298" s="709" t="s">
        <v>542</v>
      </c>
      <c r="B298" s="709" t="s">
        <v>673</v>
      </c>
      <c r="C298" s="709" t="s">
        <v>1012</v>
      </c>
      <c r="D298" s="709" t="s">
        <v>1013</v>
      </c>
      <c r="E298" s="709" t="s">
        <v>1014</v>
      </c>
      <c r="F298" s="709" t="s">
        <v>1015</v>
      </c>
      <c r="G298" s="709" t="s">
        <v>1110</v>
      </c>
      <c r="H298" s="709">
        <v>5009</v>
      </c>
      <c r="I298" s="709" t="s">
        <v>991</v>
      </c>
      <c r="J298" s="709">
        <v>63300052</v>
      </c>
      <c r="K298" s="709" t="s">
        <v>1112</v>
      </c>
      <c r="L298" s="712">
        <v>144688.78357191032</v>
      </c>
      <c r="M298" s="712">
        <v>152893.13759999996</v>
      </c>
      <c r="N298" s="712">
        <v>157479.93172799997</v>
      </c>
      <c r="O298" s="712">
        <v>162204.32967983998</v>
      </c>
      <c r="P298" s="712">
        <v>163927.80204454329</v>
      </c>
    </row>
    <row r="299" spans="1:16" hidden="1">
      <c r="A299" s="709" t="s">
        <v>400</v>
      </c>
      <c r="B299" s="709" t="s">
        <v>673</v>
      </c>
      <c r="C299" s="709" t="s">
        <v>1032</v>
      </c>
      <c r="D299" s="709" t="s">
        <v>1033</v>
      </c>
      <c r="E299" s="709" t="s">
        <v>1034</v>
      </c>
      <c r="F299" s="709" t="s">
        <v>1035</v>
      </c>
      <c r="G299" s="709" t="s">
        <v>1110</v>
      </c>
      <c r="H299" s="709">
        <v>5009</v>
      </c>
      <c r="I299" s="709" t="s">
        <v>991</v>
      </c>
      <c r="J299" s="709">
        <v>63300052</v>
      </c>
      <c r="K299" s="709" t="s">
        <v>1112</v>
      </c>
      <c r="L299" s="712">
        <v>385836.75619176112</v>
      </c>
      <c r="M299" s="712">
        <v>407715.03360000014</v>
      </c>
      <c r="N299" s="712">
        <v>419946.48460800014</v>
      </c>
      <c r="O299" s="712">
        <v>432544.87914624013</v>
      </c>
      <c r="P299" s="712">
        <v>437140.8054521156</v>
      </c>
    </row>
    <row r="300" spans="1:16" hidden="1">
      <c r="A300" s="709" t="s">
        <v>541</v>
      </c>
      <c r="B300" s="709" t="s">
        <v>673</v>
      </c>
      <c r="C300" s="709" t="s">
        <v>1056</v>
      </c>
      <c r="D300" s="709" t="s">
        <v>1057</v>
      </c>
      <c r="E300" s="709" t="s">
        <v>1058</v>
      </c>
      <c r="F300" s="709" t="s">
        <v>1059</v>
      </c>
      <c r="G300" s="709" t="s">
        <v>1110</v>
      </c>
      <c r="H300" s="709">
        <v>5009</v>
      </c>
      <c r="I300" s="709" t="s">
        <v>991</v>
      </c>
      <c r="J300" s="709">
        <v>63300052</v>
      </c>
      <c r="K300" s="709" t="s">
        <v>1112</v>
      </c>
      <c r="L300" s="712">
        <v>48229.594523970096</v>
      </c>
      <c r="M300" s="712">
        <v>50964.379199999974</v>
      </c>
      <c r="N300" s="712">
        <v>52493.310575999974</v>
      </c>
      <c r="O300" s="712">
        <v>54068.109893279972</v>
      </c>
      <c r="P300" s="712">
        <v>54642.600681514406</v>
      </c>
    </row>
    <row r="301" spans="1:16" hidden="1">
      <c r="A301" s="709" t="s">
        <v>133</v>
      </c>
      <c r="B301" s="709" t="s">
        <v>662</v>
      </c>
      <c r="C301" s="709" t="s">
        <v>1072</v>
      </c>
      <c r="D301" s="709" t="s">
        <v>1073</v>
      </c>
      <c r="E301" s="709" t="s">
        <v>1074</v>
      </c>
      <c r="F301" s="709" t="s">
        <v>1075</v>
      </c>
      <c r="G301" s="709" t="s">
        <v>1070</v>
      </c>
      <c r="H301" s="709">
        <v>5327</v>
      </c>
      <c r="I301" s="709" t="s">
        <v>754</v>
      </c>
      <c r="J301" s="709">
        <v>63300060</v>
      </c>
      <c r="K301" s="709" t="s">
        <v>1113</v>
      </c>
      <c r="L301" s="712">
        <v>7812.0308545889902</v>
      </c>
      <c r="M301" s="712">
        <v>8255</v>
      </c>
      <c r="N301" s="712">
        <v>8379.3290923999994</v>
      </c>
      <c r="O301" s="712">
        <v>8505.0190287999994</v>
      </c>
      <c r="P301" s="712">
        <v>8595.3875490876198</v>
      </c>
    </row>
    <row r="302" spans="1:16" hidden="1">
      <c r="A302" s="709" t="s">
        <v>133</v>
      </c>
      <c r="B302" s="709" t="s">
        <v>662</v>
      </c>
      <c r="C302" s="709" t="s">
        <v>749</v>
      </c>
      <c r="D302" s="709" t="s">
        <v>750</v>
      </c>
      <c r="E302" s="709" t="s">
        <v>751</v>
      </c>
      <c r="F302" s="709" t="s">
        <v>752</v>
      </c>
      <c r="G302" s="709" t="s">
        <v>1070</v>
      </c>
      <c r="H302" s="709">
        <v>5327</v>
      </c>
      <c r="I302" s="709" t="s">
        <v>754</v>
      </c>
      <c r="J302" s="709">
        <v>63300060</v>
      </c>
      <c r="K302" s="709" t="s">
        <v>1113</v>
      </c>
      <c r="L302" s="712">
        <v>20490.104664287945</v>
      </c>
      <c r="M302" s="712">
        <v>21651.964406200001</v>
      </c>
      <c r="N302" s="712">
        <v>21976.7438721</v>
      </c>
      <c r="O302" s="712">
        <v>22306.395029700001</v>
      </c>
      <c r="P302" s="712">
        <v>22543.407540190474</v>
      </c>
    </row>
    <row r="303" spans="1:16" hidden="1">
      <c r="A303" s="709" t="s">
        <v>133</v>
      </c>
      <c r="B303" s="709" t="s">
        <v>662</v>
      </c>
      <c r="C303" s="709" t="s">
        <v>756</v>
      </c>
      <c r="D303" s="709" t="s">
        <v>757</v>
      </c>
      <c r="E303" s="709" t="s">
        <v>758</v>
      </c>
      <c r="F303" s="709" t="s">
        <v>759</v>
      </c>
      <c r="G303" s="709" t="s">
        <v>1070</v>
      </c>
      <c r="H303" s="709">
        <v>5327</v>
      </c>
      <c r="I303" s="709" t="s">
        <v>754</v>
      </c>
      <c r="J303" s="709">
        <v>63300060</v>
      </c>
      <c r="K303" s="709" t="s">
        <v>1113</v>
      </c>
      <c r="L303" s="712">
        <v>26820.625838492699</v>
      </c>
      <c r="M303" s="712">
        <v>28341.448007299998</v>
      </c>
      <c r="N303" s="712">
        <v>28766.569727899998</v>
      </c>
      <c r="O303" s="712">
        <v>29198.068273399997</v>
      </c>
      <c r="P303" s="712">
        <v>29508.306994346909</v>
      </c>
    </row>
    <row r="304" spans="1:16" hidden="1">
      <c r="A304" s="709" t="s">
        <v>133</v>
      </c>
      <c r="B304" s="709" t="s">
        <v>662</v>
      </c>
      <c r="C304" s="709" t="s">
        <v>1114</v>
      </c>
      <c r="D304" s="709" t="s">
        <v>1115</v>
      </c>
      <c r="E304" s="709" t="s">
        <v>1116</v>
      </c>
      <c r="F304" s="709" t="s">
        <v>1117</v>
      </c>
      <c r="G304" s="709" t="s">
        <v>1070</v>
      </c>
      <c r="H304" s="709">
        <v>5327</v>
      </c>
      <c r="I304" s="709" t="s">
        <v>754</v>
      </c>
      <c r="J304" s="709">
        <v>63300060</v>
      </c>
      <c r="K304" s="709" t="s">
        <v>1113</v>
      </c>
      <c r="L304" s="712">
        <v>1130.8754538139119</v>
      </c>
      <c r="M304" s="712">
        <v>1195</v>
      </c>
      <c r="N304" s="712">
        <v>1213</v>
      </c>
      <c r="O304" s="712">
        <v>1195</v>
      </c>
      <c r="P304" s="712">
        <v>1207.6972533956744</v>
      </c>
    </row>
    <row r="305" spans="1:16" hidden="1">
      <c r="A305" s="709" t="s">
        <v>133</v>
      </c>
      <c r="B305" s="709" t="s">
        <v>662</v>
      </c>
      <c r="C305" s="709" t="s">
        <v>760</v>
      </c>
      <c r="D305" s="709" t="s">
        <v>761</v>
      </c>
      <c r="E305" s="709" t="s">
        <v>762</v>
      </c>
      <c r="F305" s="709" t="s">
        <v>763</v>
      </c>
      <c r="G305" s="709" t="s">
        <v>1070</v>
      </c>
      <c r="H305" s="709">
        <v>5327</v>
      </c>
      <c r="I305" s="709" t="s">
        <v>754</v>
      </c>
      <c r="J305" s="709">
        <v>63300060</v>
      </c>
      <c r="K305" s="709" t="s">
        <v>1113</v>
      </c>
      <c r="L305" s="712">
        <v>5903.6792412373488</v>
      </c>
      <c r="M305" s="712">
        <v>6238.4382555000002</v>
      </c>
      <c r="N305" s="712">
        <v>6332.0148288999999</v>
      </c>
      <c r="O305" s="712">
        <v>6426.9950515</v>
      </c>
      <c r="P305" s="712">
        <v>6495.283909024386</v>
      </c>
    </row>
    <row r="306" spans="1:16" hidden="1">
      <c r="A306" s="709" t="s">
        <v>126</v>
      </c>
      <c r="B306" s="709" t="s">
        <v>663</v>
      </c>
      <c r="C306" s="709" t="s">
        <v>1118</v>
      </c>
      <c r="D306" s="709" t="s">
        <v>1119</v>
      </c>
      <c r="E306" s="709" t="s">
        <v>1120</v>
      </c>
      <c r="F306" s="709" t="s">
        <v>1121</v>
      </c>
      <c r="G306" s="709" t="s">
        <v>1070</v>
      </c>
      <c r="H306" s="709">
        <v>5325</v>
      </c>
      <c r="I306" s="709" t="s">
        <v>768</v>
      </c>
      <c r="J306" s="709">
        <v>63300060</v>
      </c>
      <c r="K306" s="709" t="s">
        <v>1113</v>
      </c>
      <c r="L306" s="712">
        <v>413708.20866115089</v>
      </c>
      <c r="M306" s="712">
        <v>437166.89373950002</v>
      </c>
      <c r="N306" s="712">
        <v>448096.06608289998</v>
      </c>
      <c r="O306" s="712">
        <v>459298.46773510001</v>
      </c>
      <c r="P306" s="712">
        <v>464178.65939123183</v>
      </c>
    </row>
    <row r="307" spans="1:16" hidden="1">
      <c r="A307" s="709" t="s">
        <v>126</v>
      </c>
      <c r="B307" s="709" t="s">
        <v>663</v>
      </c>
      <c r="C307" s="709" t="s">
        <v>1077</v>
      </c>
      <c r="D307" s="709" t="s">
        <v>1078</v>
      </c>
      <c r="E307" s="709" t="s">
        <v>1079</v>
      </c>
      <c r="F307" s="709" t="s">
        <v>1080</v>
      </c>
      <c r="G307" s="709" t="s">
        <v>1070</v>
      </c>
      <c r="H307" s="709">
        <v>5325</v>
      </c>
      <c r="I307" s="709" t="s">
        <v>768</v>
      </c>
      <c r="J307" s="709">
        <v>63300060</v>
      </c>
      <c r="K307" s="709" t="s">
        <v>1113</v>
      </c>
      <c r="L307" s="712">
        <v>1644.586275025915</v>
      </c>
      <c r="M307" s="712">
        <v>1737.84</v>
      </c>
      <c r="N307" s="712">
        <v>1781.2860000000001</v>
      </c>
      <c r="O307" s="712">
        <v>1825.8181500000001</v>
      </c>
      <c r="P307" s="712">
        <v>1845.2180459874239</v>
      </c>
    </row>
    <row r="308" spans="1:16" hidden="1">
      <c r="A308" s="709" t="s">
        <v>126</v>
      </c>
      <c r="B308" s="709" t="s">
        <v>663</v>
      </c>
      <c r="C308" s="709" t="s">
        <v>1081</v>
      </c>
      <c r="D308" s="709" t="s">
        <v>1082</v>
      </c>
      <c r="E308" s="709" t="s">
        <v>1083</v>
      </c>
      <c r="F308" s="709" t="s">
        <v>1084</v>
      </c>
      <c r="G308" s="709" t="s">
        <v>1070</v>
      </c>
      <c r="H308" s="709">
        <v>5325</v>
      </c>
      <c r="I308" s="709" t="s">
        <v>768</v>
      </c>
      <c r="J308" s="709">
        <v>63300060</v>
      </c>
      <c r="K308" s="709" t="s">
        <v>1113</v>
      </c>
      <c r="L308" s="712">
        <v>2839.0178756834607</v>
      </c>
      <c r="M308" s="712">
        <v>3000</v>
      </c>
      <c r="N308" s="712">
        <v>1725</v>
      </c>
      <c r="O308" s="712">
        <v>3000</v>
      </c>
      <c r="P308" s="712">
        <v>3031.8759499472999</v>
      </c>
    </row>
    <row r="309" spans="1:16" hidden="1">
      <c r="A309" s="709" t="s">
        <v>126</v>
      </c>
      <c r="B309" s="709" t="s">
        <v>663</v>
      </c>
      <c r="C309" s="709" t="s">
        <v>764</v>
      </c>
      <c r="D309" s="709" t="s">
        <v>765</v>
      </c>
      <c r="E309" s="709" t="s">
        <v>766</v>
      </c>
      <c r="F309" s="709" t="s">
        <v>767</v>
      </c>
      <c r="G309" s="709" t="s">
        <v>1070</v>
      </c>
      <c r="H309" s="709">
        <v>5325</v>
      </c>
      <c r="I309" s="709" t="s">
        <v>768</v>
      </c>
      <c r="J309" s="709">
        <v>63300060</v>
      </c>
      <c r="K309" s="709" t="s">
        <v>1113</v>
      </c>
      <c r="L309" s="712">
        <v>12971.154585513978</v>
      </c>
      <c r="M309" s="712">
        <v>13706.6638748</v>
      </c>
      <c r="N309" s="712">
        <v>14049.330472199999</v>
      </c>
      <c r="O309" s="712">
        <v>14400.5637338</v>
      </c>
      <c r="P309" s="712">
        <v>14553.574283397169</v>
      </c>
    </row>
    <row r="310" spans="1:16" hidden="1">
      <c r="A310" s="709" t="s">
        <v>126</v>
      </c>
      <c r="B310" s="709" t="s">
        <v>663</v>
      </c>
      <c r="C310" s="709" t="s">
        <v>1122</v>
      </c>
      <c r="D310" s="709" t="s">
        <v>1123</v>
      </c>
      <c r="E310" s="709" t="s">
        <v>1124</v>
      </c>
      <c r="F310" s="709" t="s">
        <v>1125</v>
      </c>
      <c r="G310" s="709" t="s">
        <v>1070</v>
      </c>
      <c r="H310" s="709">
        <v>5325</v>
      </c>
      <c r="I310" s="709" t="s">
        <v>768</v>
      </c>
      <c r="J310" s="709">
        <v>63300060</v>
      </c>
      <c r="K310" s="709" t="s">
        <v>1113</v>
      </c>
      <c r="L310" s="712">
        <v>3212.089429369857</v>
      </c>
      <c r="M310" s="712">
        <v>3394.2260000000001</v>
      </c>
      <c r="N310" s="712">
        <v>3479.09</v>
      </c>
      <c r="O310" s="712">
        <v>3566.0672500000001</v>
      </c>
      <c r="P310" s="712">
        <v>3603.9578437232349</v>
      </c>
    </row>
    <row r="311" spans="1:16" hidden="1">
      <c r="A311" s="709" t="s">
        <v>126</v>
      </c>
      <c r="B311" s="709" t="s">
        <v>663</v>
      </c>
      <c r="C311" s="709" t="s">
        <v>769</v>
      </c>
      <c r="D311" s="709" t="s">
        <v>770</v>
      </c>
      <c r="E311" s="709" t="s">
        <v>771</v>
      </c>
      <c r="F311" s="709" t="s">
        <v>772</v>
      </c>
      <c r="G311" s="709" t="s">
        <v>1070</v>
      </c>
      <c r="H311" s="709">
        <v>5325</v>
      </c>
      <c r="I311" s="709" t="s">
        <v>768</v>
      </c>
      <c r="J311" s="709">
        <v>63300060</v>
      </c>
      <c r="K311" s="709" t="s">
        <v>1113</v>
      </c>
      <c r="L311" s="712">
        <v>5481.9637615533384</v>
      </c>
      <c r="M311" s="712">
        <v>5792.8100507999998</v>
      </c>
      <c r="N311" s="712">
        <v>5937.6303011999998</v>
      </c>
      <c r="O311" s="712">
        <v>6086.0710583999999</v>
      </c>
      <c r="P311" s="712">
        <v>6150.7374905444231</v>
      </c>
    </row>
    <row r="312" spans="1:16" hidden="1">
      <c r="A312" s="709" t="s">
        <v>127</v>
      </c>
      <c r="B312" s="709" t="s">
        <v>663</v>
      </c>
      <c r="C312" s="709" t="s">
        <v>1126</v>
      </c>
      <c r="D312" s="709" t="s">
        <v>1127</v>
      </c>
      <c r="E312" s="709" t="s">
        <v>1128</v>
      </c>
      <c r="F312" s="709" t="s">
        <v>1129</v>
      </c>
      <c r="G312" s="709" t="s">
        <v>1070</v>
      </c>
      <c r="H312" s="709">
        <v>5325</v>
      </c>
      <c r="I312" s="709" t="s">
        <v>768</v>
      </c>
      <c r="J312" s="709">
        <v>63300060</v>
      </c>
      <c r="K312" s="709" t="s">
        <v>1113</v>
      </c>
      <c r="L312" s="712">
        <v>571416.14967635612</v>
      </c>
      <c r="M312" s="712">
        <v>603817.42000000004</v>
      </c>
      <c r="N312" s="712">
        <v>618912.85</v>
      </c>
      <c r="O312" s="712">
        <v>634385.67000000004</v>
      </c>
      <c r="P312" s="712">
        <v>641126.21862140147</v>
      </c>
    </row>
    <row r="313" spans="1:16" hidden="1">
      <c r="A313" s="709" t="s">
        <v>127</v>
      </c>
      <c r="B313" s="709" t="s">
        <v>663</v>
      </c>
      <c r="C313" s="709" t="s">
        <v>1085</v>
      </c>
      <c r="D313" s="709" t="s">
        <v>1086</v>
      </c>
      <c r="E313" s="709" t="s">
        <v>1087</v>
      </c>
      <c r="F313" s="709" t="s">
        <v>1088</v>
      </c>
      <c r="G313" s="709" t="s">
        <v>1070</v>
      </c>
      <c r="H313" s="709">
        <v>5325</v>
      </c>
      <c r="I313" s="709" t="s">
        <v>768</v>
      </c>
      <c r="J313" s="709">
        <v>63300060</v>
      </c>
      <c r="K313" s="709" t="s">
        <v>1113</v>
      </c>
      <c r="L313" s="712">
        <v>1644.5827262535706</v>
      </c>
      <c r="M313" s="712">
        <v>1737.8362500000001</v>
      </c>
      <c r="N313" s="712">
        <v>1781.28</v>
      </c>
      <c r="O313" s="712">
        <v>1825.81</v>
      </c>
      <c r="P313" s="712">
        <v>1845.2098093910931</v>
      </c>
    </row>
    <row r="314" spans="1:16" hidden="1">
      <c r="A314" s="709" t="s">
        <v>127</v>
      </c>
      <c r="B314" s="709" t="s">
        <v>663</v>
      </c>
      <c r="C314" s="709" t="s">
        <v>1089</v>
      </c>
      <c r="D314" s="709" t="s">
        <v>1090</v>
      </c>
      <c r="E314" s="709" t="s">
        <v>1091</v>
      </c>
      <c r="F314" s="709" t="s">
        <v>1092</v>
      </c>
      <c r="G314" s="709" t="s">
        <v>1070</v>
      </c>
      <c r="H314" s="709">
        <v>5325</v>
      </c>
      <c r="I314" s="709" t="s">
        <v>768</v>
      </c>
      <c r="J314" s="709">
        <v>63300060</v>
      </c>
      <c r="K314" s="709" t="s">
        <v>1113</v>
      </c>
      <c r="L314" s="712">
        <v>3188.7706828782848</v>
      </c>
      <c r="M314" s="712">
        <v>3369.585</v>
      </c>
      <c r="N314" s="712">
        <v>3453.8246250000002</v>
      </c>
      <c r="O314" s="712">
        <v>3540.21</v>
      </c>
      <c r="P314" s="712">
        <v>3577.8258522543101</v>
      </c>
    </row>
    <row r="315" spans="1:16" hidden="1">
      <c r="A315" s="709" t="s">
        <v>127</v>
      </c>
      <c r="B315" s="709" t="s">
        <v>663</v>
      </c>
      <c r="C315" s="709" t="s">
        <v>773</v>
      </c>
      <c r="D315" s="709" t="s">
        <v>774</v>
      </c>
      <c r="E315" s="709" t="s">
        <v>775</v>
      </c>
      <c r="F315" s="709" t="s">
        <v>776</v>
      </c>
      <c r="G315" s="709" t="s">
        <v>1070</v>
      </c>
      <c r="H315" s="709">
        <v>5325</v>
      </c>
      <c r="I315" s="709" t="s">
        <v>768</v>
      </c>
      <c r="J315" s="709">
        <v>63300060</v>
      </c>
      <c r="K315" s="709" t="s">
        <v>1113</v>
      </c>
      <c r="L315" s="712">
        <v>22532.868490011198</v>
      </c>
      <c r="M315" s="712">
        <v>23810.560000000005</v>
      </c>
      <c r="N315" s="712">
        <v>24405.840000000004</v>
      </c>
      <c r="O315" s="712">
        <v>20755.740000000005</v>
      </c>
      <c r="P315" s="712">
        <v>20976.276309786394</v>
      </c>
    </row>
    <row r="316" spans="1:16" hidden="1">
      <c r="A316" s="709" t="s">
        <v>127</v>
      </c>
      <c r="B316" s="709" t="s">
        <v>663</v>
      </c>
      <c r="C316" s="709" t="s">
        <v>1130</v>
      </c>
      <c r="D316" s="709" t="s">
        <v>1131</v>
      </c>
      <c r="E316" s="709" t="s">
        <v>1132</v>
      </c>
      <c r="F316" s="709" t="s">
        <v>1133</v>
      </c>
      <c r="G316" s="709" t="s">
        <v>1070</v>
      </c>
      <c r="H316" s="709">
        <v>5325</v>
      </c>
      <c r="I316" s="709" t="s">
        <v>768</v>
      </c>
      <c r="J316" s="709">
        <v>63300060</v>
      </c>
      <c r="K316" s="709" t="s">
        <v>1113</v>
      </c>
      <c r="L316" s="712">
        <v>3289.1848524626253</v>
      </c>
      <c r="M316" s="712">
        <v>3475.6930000000002</v>
      </c>
      <c r="N316" s="712">
        <v>3562.6</v>
      </c>
      <c r="O316" s="712">
        <v>3651.64</v>
      </c>
      <c r="P316" s="712">
        <v>3690.4398312885191</v>
      </c>
    </row>
    <row r="317" spans="1:16" hidden="1">
      <c r="A317" s="709" t="s">
        <v>127</v>
      </c>
      <c r="B317" s="709" t="s">
        <v>663</v>
      </c>
      <c r="C317" s="709" t="s">
        <v>1093</v>
      </c>
      <c r="D317" s="709" t="s">
        <v>1094</v>
      </c>
      <c r="E317" s="709" t="s">
        <v>1095</v>
      </c>
      <c r="F317" s="709" t="s">
        <v>1096</v>
      </c>
      <c r="G317" s="709" t="s">
        <v>1070</v>
      </c>
      <c r="H317" s="709">
        <v>5325</v>
      </c>
      <c r="I317" s="709" t="s">
        <v>768</v>
      </c>
      <c r="J317" s="709">
        <v>63300060</v>
      </c>
      <c r="K317" s="709" t="s">
        <v>1113</v>
      </c>
      <c r="L317" s="712">
        <v>19.636191273017737</v>
      </c>
      <c r="M317" s="712">
        <v>20.749631174784923</v>
      </c>
      <c r="N317" s="712">
        <v>21.268216034031241</v>
      </c>
      <c r="O317" s="712">
        <v>21.799848945701886</v>
      </c>
      <c r="P317" s="712">
        <v>22.031479243652516</v>
      </c>
    </row>
    <row r="318" spans="1:16" hidden="1">
      <c r="A318" s="709" t="s">
        <v>127</v>
      </c>
      <c r="B318" s="709" t="s">
        <v>663</v>
      </c>
      <c r="C318" s="709" t="s">
        <v>777</v>
      </c>
      <c r="D318" s="709" t="s">
        <v>778</v>
      </c>
      <c r="E318" s="709" t="s">
        <v>779</v>
      </c>
      <c r="F318" s="709" t="s">
        <v>780</v>
      </c>
      <c r="G318" s="709" t="s">
        <v>1070</v>
      </c>
      <c r="H318" s="709">
        <v>5325</v>
      </c>
      <c r="I318" s="709" t="s">
        <v>768</v>
      </c>
      <c r="J318" s="709">
        <v>63300060</v>
      </c>
      <c r="K318" s="709" t="s">
        <v>1113</v>
      </c>
      <c r="L318" s="712">
        <v>13485.562030926494</v>
      </c>
      <c r="M318" s="712">
        <v>14250.24</v>
      </c>
      <c r="N318" s="712">
        <v>14606.52</v>
      </c>
      <c r="O318" s="712">
        <v>14971.68</v>
      </c>
      <c r="P318" s="712">
        <v>15130.758840768996</v>
      </c>
    </row>
    <row r="319" spans="1:16" hidden="1">
      <c r="A319" s="709" t="s">
        <v>406</v>
      </c>
      <c r="B319" s="709" t="s">
        <v>664</v>
      </c>
      <c r="C319" s="709" t="s">
        <v>1134</v>
      </c>
      <c r="D319" s="709" t="s">
        <v>1135</v>
      </c>
      <c r="E319" s="709" t="s">
        <v>1136</v>
      </c>
      <c r="F319" s="709" t="s">
        <v>1137</v>
      </c>
      <c r="G319" s="709" t="s">
        <v>1070</v>
      </c>
      <c r="H319" s="709">
        <v>5240</v>
      </c>
      <c r="I319" s="709" t="s">
        <v>785</v>
      </c>
      <c r="J319" s="709">
        <v>63300060</v>
      </c>
      <c r="K319" s="709" t="s">
        <v>1113</v>
      </c>
      <c r="L319" s="712">
        <v>0</v>
      </c>
      <c r="M319" s="712">
        <v>0</v>
      </c>
      <c r="N319" s="712">
        <v>276799.99999999988</v>
      </c>
      <c r="O319" s="712">
        <v>202799.99999999994</v>
      </c>
      <c r="P319" s="712">
        <v>204954.8142164374</v>
      </c>
    </row>
    <row r="320" spans="1:16" hidden="1">
      <c r="A320" s="709" t="s">
        <v>406</v>
      </c>
      <c r="B320" s="709" t="s">
        <v>664</v>
      </c>
      <c r="C320" s="709" t="s">
        <v>781</v>
      </c>
      <c r="D320" s="709" t="s">
        <v>782</v>
      </c>
      <c r="E320" s="709" t="s">
        <v>783</v>
      </c>
      <c r="F320" s="709" t="s">
        <v>784</v>
      </c>
      <c r="G320" s="709" t="s">
        <v>1070</v>
      </c>
      <c r="H320" s="709">
        <v>5240</v>
      </c>
      <c r="I320" s="709" t="s">
        <v>785</v>
      </c>
      <c r="J320" s="709">
        <v>63300060</v>
      </c>
      <c r="K320" s="709" t="s">
        <v>1113</v>
      </c>
      <c r="L320" s="712">
        <v>29980.975106509253</v>
      </c>
      <c r="M320" s="712">
        <v>31681.000000000015</v>
      </c>
      <c r="N320" s="712">
        <v>31681.000000000015</v>
      </c>
      <c r="O320" s="712">
        <v>31681.000000000015</v>
      </c>
      <c r="P320" s="712">
        <v>32017.620656760151</v>
      </c>
    </row>
    <row r="321" spans="1:16" hidden="1">
      <c r="A321" s="709" t="s">
        <v>406</v>
      </c>
      <c r="B321" s="709" t="s">
        <v>664</v>
      </c>
      <c r="C321" s="709" t="s">
        <v>786</v>
      </c>
      <c r="D321" s="709" t="s">
        <v>787</v>
      </c>
      <c r="E321" s="709" t="s">
        <v>788</v>
      </c>
      <c r="F321" s="709" t="s">
        <v>789</v>
      </c>
      <c r="G321" s="709" t="s">
        <v>1070</v>
      </c>
      <c r="H321" s="709">
        <v>5240</v>
      </c>
      <c r="I321" s="709" t="s">
        <v>785</v>
      </c>
      <c r="J321" s="709">
        <v>63300060</v>
      </c>
      <c r="K321" s="709" t="s">
        <v>1113</v>
      </c>
      <c r="L321" s="712">
        <v>154813.53743960295</v>
      </c>
      <c r="M321" s="712">
        <v>163592.00000000003</v>
      </c>
      <c r="N321" s="712">
        <v>152592.00000000003</v>
      </c>
      <c r="O321" s="712">
        <v>163592.00000000003</v>
      </c>
      <c r="P321" s="712">
        <v>165330.21680125958</v>
      </c>
    </row>
    <row r="322" spans="1:16" hidden="1">
      <c r="A322" s="709" t="s">
        <v>406</v>
      </c>
      <c r="B322" s="709" t="s">
        <v>664</v>
      </c>
      <c r="C322" s="709" t="s">
        <v>794</v>
      </c>
      <c r="D322" s="709" t="s">
        <v>795</v>
      </c>
      <c r="E322" s="709" t="s">
        <v>796</v>
      </c>
      <c r="F322" s="709" t="s">
        <v>797</v>
      </c>
      <c r="G322" s="709" t="s">
        <v>1070</v>
      </c>
      <c r="H322" s="709">
        <v>5240</v>
      </c>
      <c r="I322" s="709" t="s">
        <v>785</v>
      </c>
      <c r="J322" s="709">
        <v>63300060</v>
      </c>
      <c r="K322" s="709" t="s">
        <v>1113</v>
      </c>
      <c r="L322" s="712">
        <v>62595.612462360841</v>
      </c>
      <c r="M322" s="712">
        <v>66145</v>
      </c>
      <c r="N322" s="712">
        <v>66145</v>
      </c>
      <c r="O322" s="712">
        <v>66145</v>
      </c>
      <c r="P322" s="712">
        <v>66847.811569754718</v>
      </c>
    </row>
    <row r="323" spans="1:16" hidden="1">
      <c r="A323" s="709" t="s">
        <v>406</v>
      </c>
      <c r="B323" s="709" t="s">
        <v>664</v>
      </c>
      <c r="C323" s="709" t="s">
        <v>798</v>
      </c>
      <c r="D323" s="709" t="s">
        <v>799</v>
      </c>
      <c r="E323" s="709" t="s">
        <v>800</v>
      </c>
      <c r="F323" s="709" t="s">
        <v>801</v>
      </c>
      <c r="G323" s="709" t="s">
        <v>1070</v>
      </c>
      <c r="H323" s="709">
        <v>5240</v>
      </c>
      <c r="I323" s="709" t="s">
        <v>785</v>
      </c>
      <c r="J323" s="709">
        <v>63300060</v>
      </c>
      <c r="K323" s="709" t="s">
        <v>1113</v>
      </c>
      <c r="L323" s="712">
        <v>20440.928704920916</v>
      </c>
      <c r="M323" s="712">
        <v>21599.999999999996</v>
      </c>
      <c r="N323" s="712">
        <v>21599.999999999996</v>
      </c>
      <c r="O323" s="712">
        <v>21599.999999999996</v>
      </c>
      <c r="P323" s="712">
        <v>21829.506839620553</v>
      </c>
    </row>
    <row r="324" spans="1:16" hidden="1">
      <c r="A324" s="709" t="s">
        <v>593</v>
      </c>
      <c r="B324" s="709" t="s">
        <v>665</v>
      </c>
      <c r="C324" s="709" t="s">
        <v>802</v>
      </c>
      <c r="D324" s="709" t="s">
        <v>803</v>
      </c>
      <c r="E324" s="709" t="s">
        <v>804</v>
      </c>
      <c r="F324" s="709" t="s">
        <v>805</v>
      </c>
      <c r="G324" s="709" t="s">
        <v>1070</v>
      </c>
      <c r="H324" s="709">
        <v>5150</v>
      </c>
      <c r="I324" s="709" t="s">
        <v>806</v>
      </c>
      <c r="J324" s="709">
        <v>63300060</v>
      </c>
      <c r="K324" s="709" t="s">
        <v>1113</v>
      </c>
      <c r="L324" s="712">
        <v>184312.82584653789</v>
      </c>
      <c r="M324" s="712">
        <v>194764.00000000003</v>
      </c>
      <c r="N324" s="712">
        <v>220664.00000000006</v>
      </c>
      <c r="O324" s="712">
        <v>224384.00000000006</v>
      </c>
      <c r="P324" s="712">
        <v>226768.1510509917</v>
      </c>
    </row>
    <row r="325" spans="1:16" hidden="1">
      <c r="A325" s="709" t="s">
        <v>593</v>
      </c>
      <c r="B325" s="709" t="s">
        <v>665</v>
      </c>
      <c r="C325" s="709" t="s">
        <v>807</v>
      </c>
      <c r="D325" s="709" t="s">
        <v>808</v>
      </c>
      <c r="E325" s="709" t="s">
        <v>809</v>
      </c>
      <c r="F325" s="709" t="s">
        <v>810</v>
      </c>
      <c r="G325" s="709" t="s">
        <v>1070</v>
      </c>
      <c r="H325" s="709">
        <v>5150</v>
      </c>
      <c r="I325" s="709" t="s">
        <v>806</v>
      </c>
      <c r="J325" s="709">
        <v>63300060</v>
      </c>
      <c r="K325" s="709" t="s">
        <v>1113</v>
      </c>
      <c r="L325" s="712">
        <v>107882.67927597155</v>
      </c>
      <c r="M325" s="712">
        <v>114000.00000000003</v>
      </c>
      <c r="N325" s="712">
        <v>116700.00000000003</v>
      </c>
      <c r="O325" s="712">
        <v>119580.00000000003</v>
      </c>
      <c r="P325" s="712">
        <v>120850.5753648994</v>
      </c>
    </row>
    <row r="326" spans="1:16" hidden="1">
      <c r="A326" s="709" t="s">
        <v>593</v>
      </c>
      <c r="B326" s="709" t="s">
        <v>665</v>
      </c>
      <c r="C326" s="709" t="s">
        <v>811</v>
      </c>
      <c r="D326" s="709" t="s">
        <v>812</v>
      </c>
      <c r="E326" s="709" t="s">
        <v>813</v>
      </c>
      <c r="F326" s="709" t="s">
        <v>814</v>
      </c>
      <c r="G326" s="709" t="s">
        <v>1070</v>
      </c>
      <c r="H326" s="709">
        <v>5150</v>
      </c>
      <c r="I326" s="709" t="s">
        <v>806</v>
      </c>
      <c r="J326" s="709">
        <v>63300060</v>
      </c>
      <c r="K326" s="709" t="s">
        <v>1113</v>
      </c>
      <c r="L326" s="712">
        <v>157092.32245448499</v>
      </c>
      <c r="M326" s="712">
        <v>166000.00000000017</v>
      </c>
      <c r="N326" s="712">
        <v>134625.00000000015</v>
      </c>
      <c r="O326" s="712">
        <v>287040.00000000029</v>
      </c>
      <c r="P326" s="712">
        <v>290089.89089095796</v>
      </c>
    </row>
    <row r="327" spans="1:16" hidden="1">
      <c r="A327" s="709" t="s">
        <v>593</v>
      </c>
      <c r="B327" s="709" t="s">
        <v>665</v>
      </c>
      <c r="C327" s="709" t="s">
        <v>815</v>
      </c>
      <c r="D327" s="709" t="s">
        <v>816</v>
      </c>
      <c r="E327" s="709" t="s">
        <v>817</v>
      </c>
      <c r="F327" s="709" t="s">
        <v>818</v>
      </c>
      <c r="G327" s="709" t="s">
        <v>1070</v>
      </c>
      <c r="H327" s="709">
        <v>5150</v>
      </c>
      <c r="I327" s="709" t="s">
        <v>806</v>
      </c>
      <c r="J327" s="709">
        <v>63300060</v>
      </c>
      <c r="K327" s="709" t="s">
        <v>1113</v>
      </c>
      <c r="L327" s="712">
        <v>537101.4894897592</v>
      </c>
      <c r="M327" s="712">
        <v>567556.99999999988</v>
      </c>
      <c r="N327" s="712">
        <v>574816.99999999988</v>
      </c>
      <c r="O327" s="712">
        <v>581716.99999999988</v>
      </c>
      <c r="P327" s="712">
        <v>587897.92732516432</v>
      </c>
    </row>
    <row r="328" spans="1:16" hidden="1">
      <c r="A328" s="709" t="s">
        <v>593</v>
      </c>
      <c r="B328" s="709" t="s">
        <v>665</v>
      </c>
      <c r="C328" s="709" t="s">
        <v>819</v>
      </c>
      <c r="D328" s="709" t="s">
        <v>820</v>
      </c>
      <c r="E328" s="709" t="s">
        <v>821</v>
      </c>
      <c r="F328" s="709" t="s">
        <v>822</v>
      </c>
      <c r="G328" s="709" t="s">
        <v>1070</v>
      </c>
      <c r="H328" s="709">
        <v>5150</v>
      </c>
      <c r="I328" s="709" t="s">
        <v>806</v>
      </c>
      <c r="J328" s="709">
        <v>63300060</v>
      </c>
      <c r="K328" s="709" t="s">
        <v>1113</v>
      </c>
      <c r="L328" s="712">
        <v>105202.64640132635</v>
      </c>
      <c r="M328" s="712">
        <v>111168.00000000003</v>
      </c>
      <c r="N328" s="712">
        <v>111588.00000000003</v>
      </c>
      <c r="O328" s="712">
        <v>112008.00000000003</v>
      </c>
      <c r="P328" s="712">
        <v>113198.12046723241</v>
      </c>
    </row>
    <row r="329" spans="1:16" hidden="1">
      <c r="A329" s="709" t="s">
        <v>593</v>
      </c>
      <c r="B329" s="709" t="s">
        <v>666</v>
      </c>
      <c r="C329" s="709" t="s">
        <v>823</v>
      </c>
      <c r="D329" s="709" t="s">
        <v>824</v>
      </c>
      <c r="E329" s="709" t="s">
        <v>825</v>
      </c>
      <c r="F329" s="709" t="s">
        <v>826</v>
      </c>
      <c r="G329" s="709" t="s">
        <v>1070</v>
      </c>
      <c r="H329" s="709">
        <v>5031</v>
      </c>
      <c r="I329" s="709" t="s">
        <v>827</v>
      </c>
      <c r="J329" s="709">
        <v>63300060</v>
      </c>
      <c r="K329" s="709" t="s">
        <v>1113</v>
      </c>
      <c r="L329" s="712">
        <v>15141.42867031179</v>
      </c>
      <c r="M329" s="712">
        <v>16000</v>
      </c>
      <c r="N329" s="712">
        <v>16000</v>
      </c>
      <c r="O329" s="712">
        <v>16000</v>
      </c>
      <c r="P329" s="712">
        <v>16170.005066385598</v>
      </c>
    </row>
    <row r="330" spans="1:16" hidden="1">
      <c r="A330" s="709" t="s">
        <v>593</v>
      </c>
      <c r="B330" s="709" t="s">
        <v>666</v>
      </c>
      <c r="C330" s="709" t="s">
        <v>832</v>
      </c>
      <c r="D330" s="709" t="s">
        <v>833</v>
      </c>
      <c r="E330" s="709" t="s">
        <v>834</v>
      </c>
      <c r="F330" s="709" t="s">
        <v>835</v>
      </c>
      <c r="G330" s="709" t="s">
        <v>1070</v>
      </c>
      <c r="H330" s="709">
        <v>5031</v>
      </c>
      <c r="I330" s="709" t="s">
        <v>827</v>
      </c>
      <c r="J330" s="709">
        <v>63300060</v>
      </c>
      <c r="K330" s="709" t="s">
        <v>1113</v>
      </c>
      <c r="L330" s="712">
        <v>1656.0937608153522</v>
      </c>
      <c r="M330" s="712">
        <v>1750</v>
      </c>
      <c r="N330" s="712">
        <v>1750</v>
      </c>
      <c r="O330" s="712">
        <v>1750</v>
      </c>
      <c r="P330" s="712">
        <v>1768.5943041359249</v>
      </c>
    </row>
    <row r="331" spans="1:16" hidden="1">
      <c r="A331" s="709" t="s">
        <v>398</v>
      </c>
      <c r="B331" s="709" t="s">
        <v>667</v>
      </c>
      <c r="C331" s="709" t="s">
        <v>836</v>
      </c>
      <c r="D331" s="709" t="s">
        <v>837</v>
      </c>
      <c r="E331" s="709" t="s">
        <v>838</v>
      </c>
      <c r="F331" s="709" t="s">
        <v>839</v>
      </c>
      <c r="G331" s="709" t="s">
        <v>1070</v>
      </c>
      <c r="H331" s="709">
        <v>5025</v>
      </c>
      <c r="I331" s="709" t="s">
        <v>840</v>
      </c>
      <c r="J331" s="709">
        <v>63300060</v>
      </c>
      <c r="K331" s="709" t="s">
        <v>1113</v>
      </c>
      <c r="L331" s="712">
        <v>14086.260359849439</v>
      </c>
      <c r="M331" s="712">
        <v>14885</v>
      </c>
      <c r="N331" s="712">
        <v>14885</v>
      </c>
      <c r="O331" s="712">
        <v>14885</v>
      </c>
      <c r="P331" s="712">
        <v>15043.157838321853</v>
      </c>
    </row>
    <row r="332" spans="1:16" hidden="1">
      <c r="A332" s="709" t="s">
        <v>398</v>
      </c>
      <c r="B332" s="709" t="s">
        <v>667</v>
      </c>
      <c r="C332" s="709" t="s">
        <v>841</v>
      </c>
      <c r="D332" s="709" t="s">
        <v>842</v>
      </c>
      <c r="E332" s="709" t="s">
        <v>843</v>
      </c>
      <c r="F332" s="709" t="s">
        <v>844</v>
      </c>
      <c r="G332" s="709" t="s">
        <v>1070</v>
      </c>
      <c r="H332" s="709">
        <v>5025</v>
      </c>
      <c r="I332" s="709" t="s">
        <v>840</v>
      </c>
      <c r="J332" s="709">
        <v>63300060</v>
      </c>
      <c r="K332" s="709" t="s">
        <v>1113</v>
      </c>
      <c r="L332" s="712">
        <v>19886.373879870753</v>
      </c>
      <c r="M332" s="712">
        <v>21014.000000000004</v>
      </c>
      <c r="N332" s="712">
        <v>27143.000000000007</v>
      </c>
      <c r="O332" s="712">
        <v>64794.940000000017</v>
      </c>
      <c r="P332" s="712">
        <v>65483.406754759446</v>
      </c>
    </row>
    <row r="333" spans="1:16" hidden="1">
      <c r="A333" s="709" t="s">
        <v>398</v>
      </c>
      <c r="B333" s="709" t="s">
        <v>667</v>
      </c>
      <c r="C333" s="709" t="s">
        <v>1138</v>
      </c>
      <c r="D333" s="709" t="s">
        <v>1139</v>
      </c>
      <c r="E333" s="709" t="s">
        <v>1140</v>
      </c>
      <c r="F333" s="709" t="s">
        <v>1141</v>
      </c>
      <c r="G333" s="709" t="s">
        <v>1070</v>
      </c>
      <c r="H333" s="709">
        <v>5025</v>
      </c>
      <c r="I333" s="709" t="s">
        <v>840</v>
      </c>
      <c r="J333" s="709">
        <v>63300060</v>
      </c>
      <c r="K333" s="709" t="s">
        <v>1113</v>
      </c>
      <c r="L333" s="712">
        <v>100113.27154308945</v>
      </c>
      <c r="M333" s="712">
        <v>105790.04</v>
      </c>
      <c r="N333" s="712">
        <v>108806.12</v>
      </c>
      <c r="O333" s="712">
        <v>111912.68240000001</v>
      </c>
      <c r="P333" s="712">
        <v>113101.79008755017</v>
      </c>
    </row>
    <row r="334" spans="1:16" hidden="1">
      <c r="A334" s="709" t="s">
        <v>398</v>
      </c>
      <c r="B334" s="709" t="s">
        <v>667</v>
      </c>
      <c r="C334" s="709" t="s">
        <v>849</v>
      </c>
      <c r="D334" s="709" t="s">
        <v>850</v>
      </c>
      <c r="E334" s="709" t="s">
        <v>851</v>
      </c>
      <c r="F334" s="709" t="s">
        <v>852</v>
      </c>
      <c r="G334" s="709" t="s">
        <v>1070</v>
      </c>
      <c r="H334" s="709">
        <v>5025</v>
      </c>
      <c r="I334" s="709" t="s">
        <v>840</v>
      </c>
      <c r="J334" s="709">
        <v>63300060</v>
      </c>
      <c r="K334" s="709" t="s">
        <v>1113</v>
      </c>
      <c r="L334" s="712">
        <v>86291.001992106903</v>
      </c>
      <c r="M334" s="712">
        <v>91184</v>
      </c>
      <c r="N334" s="712">
        <v>91184</v>
      </c>
      <c r="O334" s="712">
        <v>91184</v>
      </c>
      <c r="P334" s="712">
        <v>92152.858873331526</v>
      </c>
    </row>
    <row r="335" spans="1:16" hidden="1">
      <c r="A335" s="709" t="s">
        <v>398</v>
      </c>
      <c r="B335" s="709" t="s">
        <v>667</v>
      </c>
      <c r="C335" s="709" t="s">
        <v>853</v>
      </c>
      <c r="D335" s="709" t="s">
        <v>854</v>
      </c>
      <c r="E335" s="709" t="s">
        <v>855</v>
      </c>
      <c r="F335" s="709" t="s">
        <v>856</v>
      </c>
      <c r="G335" s="709" t="s">
        <v>1070</v>
      </c>
      <c r="H335" s="709">
        <v>5025</v>
      </c>
      <c r="I335" s="709" t="s">
        <v>840</v>
      </c>
      <c r="J335" s="709">
        <v>63300060</v>
      </c>
      <c r="K335" s="709" t="s">
        <v>1113</v>
      </c>
      <c r="L335" s="712">
        <v>69177.402237486967</v>
      </c>
      <c r="M335" s="712">
        <v>73099.999999999971</v>
      </c>
      <c r="N335" s="712">
        <v>73099.999999999971</v>
      </c>
      <c r="O335" s="712">
        <v>73099.999999999971</v>
      </c>
      <c r="P335" s="712">
        <v>73876.710647049171</v>
      </c>
    </row>
    <row r="336" spans="1:16" hidden="1">
      <c r="A336" s="709" t="s">
        <v>398</v>
      </c>
      <c r="B336" s="709" t="s">
        <v>667</v>
      </c>
      <c r="C336" s="709" t="s">
        <v>857</v>
      </c>
      <c r="D336" s="709" t="s">
        <v>858</v>
      </c>
      <c r="E336" s="709" t="s">
        <v>859</v>
      </c>
      <c r="F336" s="709" t="s">
        <v>860</v>
      </c>
      <c r="G336" s="709" t="s">
        <v>1070</v>
      </c>
      <c r="H336" s="709">
        <v>5025</v>
      </c>
      <c r="I336" s="709" t="s">
        <v>840</v>
      </c>
      <c r="J336" s="709">
        <v>63300060</v>
      </c>
      <c r="K336" s="709" t="s">
        <v>1113</v>
      </c>
      <c r="L336" s="712">
        <v>158730.43576875431</v>
      </c>
      <c r="M336" s="712">
        <v>167731.00000000012</v>
      </c>
      <c r="N336" s="712">
        <v>187731.00000000012</v>
      </c>
      <c r="O336" s="712">
        <v>187731.00000000012</v>
      </c>
      <c r="P336" s="712">
        <v>189725.70131985229</v>
      </c>
    </row>
    <row r="337" spans="1:16" hidden="1">
      <c r="A337" s="709" t="s">
        <v>398</v>
      </c>
      <c r="B337" s="709" t="s">
        <v>667</v>
      </c>
      <c r="C337" s="709" t="s">
        <v>1142</v>
      </c>
      <c r="D337" s="709" t="s">
        <v>1143</v>
      </c>
      <c r="E337" s="709" t="s">
        <v>1144</v>
      </c>
      <c r="F337" s="709" t="s">
        <v>1145</v>
      </c>
      <c r="G337" s="709" t="s">
        <v>1070</v>
      </c>
      <c r="H337" s="709">
        <v>5025</v>
      </c>
      <c r="I337" s="709" t="s">
        <v>840</v>
      </c>
      <c r="J337" s="709">
        <v>63300060</v>
      </c>
      <c r="K337" s="709" t="s">
        <v>1113</v>
      </c>
      <c r="L337" s="712">
        <v>418982.62830129615</v>
      </c>
      <c r="M337" s="712">
        <v>442740.39120000001</v>
      </c>
      <c r="N337" s="712">
        <v>456022.60293599998</v>
      </c>
      <c r="O337" s="712">
        <v>469703.28102360002</v>
      </c>
      <c r="P337" s="712">
        <v>474694.02711559692</v>
      </c>
    </row>
    <row r="338" spans="1:16" hidden="1">
      <c r="A338" s="709" t="s">
        <v>398</v>
      </c>
      <c r="B338" s="709" t="s">
        <v>667</v>
      </c>
      <c r="C338" s="709" t="s">
        <v>861</v>
      </c>
      <c r="D338" s="709" t="s">
        <v>862</v>
      </c>
      <c r="E338" s="709" t="s">
        <v>863</v>
      </c>
      <c r="F338" s="709" t="s">
        <v>864</v>
      </c>
      <c r="G338" s="709" t="s">
        <v>1070</v>
      </c>
      <c r="H338" s="709">
        <v>5025</v>
      </c>
      <c r="I338" s="709" t="s">
        <v>840</v>
      </c>
      <c r="J338" s="709">
        <v>63300060</v>
      </c>
      <c r="K338" s="709" t="s">
        <v>1113</v>
      </c>
      <c r="L338" s="712">
        <v>29968.672695714609</v>
      </c>
      <c r="M338" s="712">
        <v>31667.999999999996</v>
      </c>
      <c r="N338" s="712">
        <v>31667.999999999996</v>
      </c>
      <c r="O338" s="712">
        <v>31667.999999999996</v>
      </c>
      <c r="P338" s="712">
        <v>32004.482527643693</v>
      </c>
    </row>
    <row r="339" spans="1:16" hidden="1">
      <c r="A339" s="709" t="s">
        <v>398</v>
      </c>
      <c r="B339" s="709" t="s">
        <v>667</v>
      </c>
      <c r="C339" s="709" t="s">
        <v>1146</v>
      </c>
      <c r="D339" s="709" t="s">
        <v>1147</v>
      </c>
      <c r="E339" s="709" t="s">
        <v>1148</v>
      </c>
      <c r="F339" s="709" t="s">
        <v>1149</v>
      </c>
      <c r="G339" s="709" t="s">
        <v>1070</v>
      </c>
      <c r="H339" s="709">
        <v>5025</v>
      </c>
      <c r="I339" s="709" t="s">
        <v>840</v>
      </c>
      <c r="J339" s="709">
        <v>63300060</v>
      </c>
      <c r="K339" s="709" t="s">
        <v>1113</v>
      </c>
      <c r="L339" s="712">
        <v>135544.17677804737</v>
      </c>
      <c r="M339" s="712">
        <v>143230</v>
      </c>
      <c r="N339" s="712">
        <v>143230</v>
      </c>
      <c r="O339" s="712">
        <v>143230</v>
      </c>
      <c r="P339" s="712">
        <v>144751.86410365059</v>
      </c>
    </row>
    <row r="340" spans="1:16" hidden="1">
      <c r="A340" s="709" t="s">
        <v>397</v>
      </c>
      <c r="B340" s="709" t="s">
        <v>873</v>
      </c>
      <c r="C340" s="709" t="s">
        <v>874</v>
      </c>
      <c r="D340" s="709" t="s">
        <v>875</v>
      </c>
      <c r="E340" s="709" t="s">
        <v>876</v>
      </c>
      <c r="F340" s="709" t="s">
        <v>877</v>
      </c>
      <c r="G340" s="709" t="s">
        <v>1070</v>
      </c>
      <c r="H340" s="709">
        <v>5024</v>
      </c>
      <c r="I340" s="709" t="s">
        <v>878</v>
      </c>
      <c r="J340" s="709">
        <v>63300060</v>
      </c>
      <c r="K340" s="709" t="s">
        <v>1113</v>
      </c>
      <c r="L340" s="712">
        <v>3543.0943088529593</v>
      </c>
      <c r="M340" s="712">
        <v>3744</v>
      </c>
      <c r="N340" s="712">
        <v>3744</v>
      </c>
      <c r="O340" s="712">
        <v>3744</v>
      </c>
      <c r="P340" s="712">
        <v>3783.7811855342302</v>
      </c>
    </row>
    <row r="341" spans="1:16" hidden="1">
      <c r="A341" s="709" t="s">
        <v>399</v>
      </c>
      <c r="B341" s="709" t="s">
        <v>668</v>
      </c>
      <c r="C341" s="709" t="s">
        <v>879</v>
      </c>
      <c r="D341" s="709" t="s">
        <v>880</v>
      </c>
      <c r="E341" s="709" t="s">
        <v>881</v>
      </c>
      <c r="F341" s="709" t="s">
        <v>882</v>
      </c>
      <c r="G341" s="709" t="s">
        <v>1070</v>
      </c>
      <c r="H341" s="709">
        <v>5021</v>
      </c>
      <c r="I341" s="709" t="s">
        <v>883</v>
      </c>
      <c r="J341" s="709">
        <v>63300060</v>
      </c>
      <c r="K341" s="709" t="s">
        <v>1113</v>
      </c>
      <c r="L341" s="712">
        <v>2327.2565134127603</v>
      </c>
      <c r="M341" s="712">
        <v>2459.2200000000003</v>
      </c>
      <c r="N341" s="712">
        <v>2508.4044000000004</v>
      </c>
      <c r="O341" s="712">
        <v>2558.5724880000002</v>
      </c>
      <c r="P341" s="712">
        <v>2585.7581308546755</v>
      </c>
    </row>
    <row r="342" spans="1:16" hidden="1">
      <c r="A342" s="709" t="s">
        <v>399</v>
      </c>
      <c r="B342" s="709" t="s">
        <v>668</v>
      </c>
      <c r="C342" s="709" t="s">
        <v>1150</v>
      </c>
      <c r="D342" s="709" t="s">
        <v>1151</v>
      </c>
      <c r="E342" s="709" t="s">
        <v>1152</v>
      </c>
      <c r="F342" s="709" t="s">
        <v>1153</v>
      </c>
      <c r="G342" s="709" t="s">
        <v>1070</v>
      </c>
      <c r="H342" s="709">
        <v>5021</v>
      </c>
      <c r="I342" s="709" t="s">
        <v>883</v>
      </c>
      <c r="J342" s="709">
        <v>63300060</v>
      </c>
      <c r="K342" s="709" t="s">
        <v>1113</v>
      </c>
      <c r="L342" s="712">
        <v>93869.287041597956</v>
      </c>
      <c r="M342" s="712">
        <v>99192</v>
      </c>
      <c r="N342" s="712">
        <v>99192</v>
      </c>
      <c r="O342" s="712">
        <v>99192</v>
      </c>
      <c r="P342" s="712">
        <v>100245.94640905752</v>
      </c>
    </row>
    <row r="343" spans="1:16" hidden="1">
      <c r="A343" s="709" t="s">
        <v>399</v>
      </c>
      <c r="B343" s="709" t="s">
        <v>668</v>
      </c>
      <c r="C343" s="709" t="s">
        <v>884</v>
      </c>
      <c r="D343" s="709" t="s">
        <v>885</v>
      </c>
      <c r="E343" s="709" t="s">
        <v>886</v>
      </c>
      <c r="F343" s="709" t="s">
        <v>887</v>
      </c>
      <c r="G343" s="709" t="s">
        <v>1070</v>
      </c>
      <c r="H343" s="709">
        <v>5021</v>
      </c>
      <c r="I343" s="709" t="s">
        <v>883</v>
      </c>
      <c r="J343" s="709">
        <v>63300060</v>
      </c>
      <c r="K343" s="709" t="s">
        <v>1113</v>
      </c>
      <c r="L343" s="712">
        <v>4582.1748513531038</v>
      </c>
      <c r="M343" s="712">
        <v>4841.9999999999982</v>
      </c>
      <c r="N343" s="712">
        <v>4841.9999999999982</v>
      </c>
      <c r="O343" s="712">
        <v>4841.9999999999982</v>
      </c>
      <c r="P343" s="712">
        <v>4893.4477832149405</v>
      </c>
    </row>
    <row r="344" spans="1:16" hidden="1">
      <c r="A344" s="709" t="s">
        <v>399</v>
      </c>
      <c r="B344" s="709" t="s">
        <v>668</v>
      </c>
      <c r="C344" s="709" t="s">
        <v>888</v>
      </c>
      <c r="D344" s="709" t="s">
        <v>889</v>
      </c>
      <c r="E344" s="709" t="s">
        <v>890</v>
      </c>
      <c r="F344" s="709" t="s">
        <v>891</v>
      </c>
      <c r="G344" s="709" t="s">
        <v>1070</v>
      </c>
      <c r="H344" s="709">
        <v>5021</v>
      </c>
      <c r="I344" s="709" t="s">
        <v>883</v>
      </c>
      <c r="J344" s="709">
        <v>63300060</v>
      </c>
      <c r="K344" s="709" t="s">
        <v>1113</v>
      </c>
      <c r="L344" s="712">
        <v>28390.178756834634</v>
      </c>
      <c r="M344" s="712">
        <v>30000.000000000025</v>
      </c>
      <c r="N344" s="712">
        <v>30000.000000000025</v>
      </c>
      <c r="O344" s="712">
        <v>30000.000000000025</v>
      </c>
      <c r="P344" s="712">
        <v>30318.759499473024</v>
      </c>
    </row>
    <row r="345" spans="1:16" hidden="1">
      <c r="A345" s="709" t="s">
        <v>399</v>
      </c>
      <c r="B345" s="709" t="s">
        <v>668</v>
      </c>
      <c r="C345" s="709" t="s">
        <v>1154</v>
      </c>
      <c r="D345" s="709" t="s">
        <v>1155</v>
      </c>
      <c r="E345" s="709" t="s">
        <v>1156</v>
      </c>
      <c r="F345" s="709" t="s">
        <v>1157</v>
      </c>
      <c r="G345" s="709" t="s">
        <v>1070</v>
      </c>
      <c r="H345" s="709">
        <v>5021</v>
      </c>
      <c r="I345" s="709" t="s">
        <v>883</v>
      </c>
      <c r="J345" s="709">
        <v>63300060</v>
      </c>
      <c r="K345" s="709" t="s">
        <v>1113</v>
      </c>
      <c r="L345" s="712">
        <v>303372.51030443097</v>
      </c>
      <c r="M345" s="712">
        <v>320574.78000000003</v>
      </c>
      <c r="N345" s="712">
        <v>326986.27559999999</v>
      </c>
      <c r="O345" s="712">
        <v>333526.00111200003</v>
      </c>
      <c r="P345" s="712">
        <v>337069.82048452308</v>
      </c>
    </row>
    <row r="346" spans="1:16" hidden="1">
      <c r="A346" s="709" t="s">
        <v>399</v>
      </c>
      <c r="B346" s="709" t="s">
        <v>668</v>
      </c>
      <c r="C346" s="709" t="s">
        <v>892</v>
      </c>
      <c r="D346" s="709" t="s">
        <v>893</v>
      </c>
      <c r="E346" s="709" t="s">
        <v>894</v>
      </c>
      <c r="F346" s="709" t="s">
        <v>895</v>
      </c>
      <c r="G346" s="709" t="s">
        <v>1070</v>
      </c>
      <c r="H346" s="709">
        <v>5021</v>
      </c>
      <c r="I346" s="709" t="s">
        <v>883</v>
      </c>
      <c r="J346" s="709">
        <v>63300060</v>
      </c>
      <c r="K346" s="709" t="s">
        <v>1113</v>
      </c>
      <c r="L346" s="712">
        <v>19678.179235653966</v>
      </c>
      <c r="M346" s="712">
        <v>20794.000000000004</v>
      </c>
      <c r="N346" s="712">
        <v>20794.000000000004</v>
      </c>
      <c r="O346" s="712">
        <v>20794.000000000004</v>
      </c>
      <c r="P346" s="712">
        <v>21014.942834401387</v>
      </c>
    </row>
    <row r="347" spans="1:16" hidden="1">
      <c r="A347" s="709" t="s">
        <v>399</v>
      </c>
      <c r="B347" s="709" t="s">
        <v>668</v>
      </c>
      <c r="C347" s="709" t="s">
        <v>1158</v>
      </c>
      <c r="D347" s="709" t="s">
        <v>1159</v>
      </c>
      <c r="E347" s="709" t="s">
        <v>1160</v>
      </c>
      <c r="F347" s="709" t="s">
        <v>1161</v>
      </c>
      <c r="G347" s="709" t="s">
        <v>1070</v>
      </c>
      <c r="H347" s="709">
        <v>5021</v>
      </c>
      <c r="I347" s="709" t="s">
        <v>883</v>
      </c>
      <c r="J347" s="709">
        <v>63300060</v>
      </c>
      <c r="K347" s="709" t="s">
        <v>1113</v>
      </c>
      <c r="L347" s="712">
        <v>1737779.7542565761</v>
      </c>
      <c r="M347" s="712">
        <v>1836317.8715508005</v>
      </c>
      <c r="N347" s="712">
        <v>1873044.2289818004</v>
      </c>
      <c r="O347" s="712">
        <v>1910505.1135616004</v>
      </c>
      <c r="P347" s="712">
        <v>1930804.835352917</v>
      </c>
    </row>
    <row r="348" spans="1:16" hidden="1">
      <c r="A348" s="709" t="s">
        <v>399</v>
      </c>
      <c r="B348" s="709" t="s">
        <v>668</v>
      </c>
      <c r="C348" s="709" t="s">
        <v>1162</v>
      </c>
      <c r="D348" s="709" t="s">
        <v>1163</v>
      </c>
      <c r="E348" s="709" t="s">
        <v>1164</v>
      </c>
      <c r="F348" s="709" t="s">
        <v>1165</v>
      </c>
      <c r="G348" s="709" t="s">
        <v>1070</v>
      </c>
      <c r="H348" s="709">
        <v>5021</v>
      </c>
      <c r="I348" s="709" t="s">
        <v>883</v>
      </c>
      <c r="J348" s="709">
        <v>63300060</v>
      </c>
      <c r="K348" s="709" t="s">
        <v>1113</v>
      </c>
      <c r="L348" s="712">
        <v>14195.089378417304</v>
      </c>
      <c r="M348" s="712">
        <v>15000</v>
      </c>
      <c r="N348" s="712">
        <v>15000</v>
      </c>
      <c r="O348" s="712">
        <v>15000</v>
      </c>
      <c r="P348" s="712">
        <v>15159.379749736499</v>
      </c>
    </row>
    <row r="349" spans="1:16" hidden="1">
      <c r="A349" s="709" t="s">
        <v>399</v>
      </c>
      <c r="B349" s="709" t="s">
        <v>668</v>
      </c>
      <c r="C349" s="709" t="s">
        <v>896</v>
      </c>
      <c r="D349" s="709" t="s">
        <v>897</v>
      </c>
      <c r="E349" s="709" t="s">
        <v>898</v>
      </c>
      <c r="F349" s="709" t="s">
        <v>899</v>
      </c>
      <c r="G349" s="709" t="s">
        <v>1070</v>
      </c>
      <c r="H349" s="709">
        <v>5021</v>
      </c>
      <c r="I349" s="709" t="s">
        <v>883</v>
      </c>
      <c r="J349" s="709">
        <v>63300060</v>
      </c>
      <c r="K349" s="709" t="s">
        <v>1113</v>
      </c>
      <c r="L349" s="712">
        <v>12491.678653007228</v>
      </c>
      <c r="M349" s="712">
        <v>13200</v>
      </c>
      <c r="N349" s="712">
        <v>13200</v>
      </c>
      <c r="O349" s="712">
        <v>13200</v>
      </c>
      <c r="P349" s="712">
        <v>13340.254179768119</v>
      </c>
    </row>
    <row r="350" spans="1:16" hidden="1">
      <c r="A350" s="709" t="s">
        <v>399</v>
      </c>
      <c r="B350" s="709" t="s">
        <v>668</v>
      </c>
      <c r="C350" s="709" t="s">
        <v>1166</v>
      </c>
      <c r="D350" s="709" t="s">
        <v>1167</v>
      </c>
      <c r="E350" s="709" t="s">
        <v>1168</v>
      </c>
      <c r="F350" s="709" t="s">
        <v>1169</v>
      </c>
      <c r="G350" s="709" t="s">
        <v>1070</v>
      </c>
      <c r="H350" s="709">
        <v>5021</v>
      </c>
      <c r="I350" s="709" t="s">
        <v>883</v>
      </c>
      <c r="J350" s="709">
        <v>63300060</v>
      </c>
      <c r="K350" s="709" t="s">
        <v>1113</v>
      </c>
      <c r="L350" s="712">
        <v>1167.7826861977971</v>
      </c>
      <c r="M350" s="712">
        <v>1234.0000000000002</v>
      </c>
      <c r="N350" s="712">
        <v>1234.0000000000002</v>
      </c>
      <c r="O350" s="712">
        <v>1234.0000000000002</v>
      </c>
      <c r="P350" s="712">
        <v>1247.1116407449895</v>
      </c>
    </row>
    <row r="351" spans="1:16" hidden="1">
      <c r="A351" s="709" t="s">
        <v>399</v>
      </c>
      <c r="B351" s="709" t="s">
        <v>668</v>
      </c>
      <c r="C351" s="709" t="s">
        <v>900</v>
      </c>
      <c r="D351" s="709" t="s">
        <v>901</v>
      </c>
      <c r="E351" s="709" t="s">
        <v>902</v>
      </c>
      <c r="F351" s="709" t="s">
        <v>903</v>
      </c>
      <c r="G351" s="709" t="s">
        <v>1070</v>
      </c>
      <c r="H351" s="709">
        <v>5021</v>
      </c>
      <c r="I351" s="709" t="s">
        <v>883</v>
      </c>
      <c r="J351" s="709">
        <v>63300060</v>
      </c>
      <c r="K351" s="709" t="s">
        <v>1113</v>
      </c>
      <c r="L351" s="712">
        <v>15403.564654166565</v>
      </c>
      <c r="M351" s="712">
        <v>16277</v>
      </c>
      <c r="N351" s="712">
        <v>16277</v>
      </c>
      <c r="O351" s="712">
        <v>16277</v>
      </c>
      <c r="P351" s="712">
        <v>16449.9482790974</v>
      </c>
    </row>
    <row r="352" spans="1:16" hidden="1">
      <c r="A352" s="709" t="s">
        <v>407</v>
      </c>
      <c r="B352" s="709" t="s">
        <v>669</v>
      </c>
      <c r="C352" s="709" t="s">
        <v>904</v>
      </c>
      <c r="D352" s="709" t="s">
        <v>905</v>
      </c>
      <c r="E352" s="709" t="s">
        <v>906</v>
      </c>
      <c r="F352" s="709" t="s">
        <v>907</v>
      </c>
      <c r="G352" s="709" t="s">
        <v>1070</v>
      </c>
      <c r="H352" s="709">
        <v>5020</v>
      </c>
      <c r="I352" s="709" t="s">
        <v>908</v>
      </c>
      <c r="J352" s="709">
        <v>63300060</v>
      </c>
      <c r="K352" s="709" t="s">
        <v>1113</v>
      </c>
      <c r="L352" s="712">
        <v>9747.2947065132157</v>
      </c>
      <c r="M352" s="712">
        <v>10300</v>
      </c>
      <c r="N352" s="712">
        <v>10300</v>
      </c>
      <c r="O352" s="712">
        <v>10300</v>
      </c>
      <c r="P352" s="712">
        <v>10409.44076148573</v>
      </c>
    </row>
    <row r="353" spans="1:16" hidden="1">
      <c r="A353" s="709" t="s">
        <v>407</v>
      </c>
      <c r="B353" s="709" t="s">
        <v>669</v>
      </c>
      <c r="C353" s="709" t="s">
        <v>1101</v>
      </c>
      <c r="D353" s="709" t="s">
        <v>1102</v>
      </c>
      <c r="E353" s="709" t="s">
        <v>1103</v>
      </c>
      <c r="F353" s="709" t="s">
        <v>1104</v>
      </c>
      <c r="G353" s="709" t="s">
        <v>1070</v>
      </c>
      <c r="H353" s="709">
        <v>5020</v>
      </c>
      <c r="I353" s="709" t="s">
        <v>908</v>
      </c>
      <c r="J353" s="709">
        <v>63300060</v>
      </c>
      <c r="K353" s="709" t="s">
        <v>1113</v>
      </c>
      <c r="L353" s="712">
        <v>794.925005191369</v>
      </c>
      <c r="M353" s="712">
        <v>840</v>
      </c>
      <c r="N353" s="712">
        <v>840</v>
      </c>
      <c r="O353" s="712">
        <v>840</v>
      </c>
      <c r="P353" s="712">
        <v>848.92526598524398</v>
      </c>
    </row>
    <row r="354" spans="1:16" hidden="1">
      <c r="A354" s="709" t="s">
        <v>407</v>
      </c>
      <c r="B354" s="709" t="s">
        <v>669</v>
      </c>
      <c r="C354" s="709" t="s">
        <v>1170</v>
      </c>
      <c r="D354" s="709" t="s">
        <v>1171</v>
      </c>
      <c r="E354" s="709" t="s">
        <v>1172</v>
      </c>
      <c r="F354" s="709" t="s">
        <v>1173</v>
      </c>
      <c r="G354" s="709" t="s">
        <v>1070</v>
      </c>
      <c r="H354" s="709">
        <v>5020</v>
      </c>
      <c r="I354" s="709" t="s">
        <v>908</v>
      </c>
      <c r="J354" s="709">
        <v>63300060</v>
      </c>
      <c r="K354" s="709" t="s">
        <v>1113</v>
      </c>
      <c r="L354" s="712">
        <v>999.33429224057818</v>
      </c>
      <c r="M354" s="712">
        <v>1056</v>
      </c>
      <c r="N354" s="712">
        <v>1056</v>
      </c>
      <c r="O354" s="712">
        <v>1056</v>
      </c>
      <c r="P354" s="712">
        <v>1067.2203343814494</v>
      </c>
    </row>
    <row r="355" spans="1:16" hidden="1">
      <c r="A355" s="709" t="s">
        <v>407</v>
      </c>
      <c r="B355" s="709" t="s">
        <v>669</v>
      </c>
      <c r="C355" s="709" t="s">
        <v>1105</v>
      </c>
      <c r="D355" s="709" t="s">
        <v>1106</v>
      </c>
      <c r="E355" s="709" t="s">
        <v>1107</v>
      </c>
      <c r="F355" s="709" t="s">
        <v>1108</v>
      </c>
      <c r="G355" s="709" t="s">
        <v>1070</v>
      </c>
      <c r="H355" s="709">
        <v>5020</v>
      </c>
      <c r="I355" s="709" t="s">
        <v>908</v>
      </c>
      <c r="J355" s="709">
        <v>63300060</v>
      </c>
      <c r="K355" s="709" t="s">
        <v>1113</v>
      </c>
      <c r="L355" s="712">
        <v>4521.6091366718583</v>
      </c>
      <c r="M355" s="712">
        <v>4778</v>
      </c>
      <c r="N355" s="712">
        <v>34778</v>
      </c>
      <c r="O355" s="712">
        <v>29778</v>
      </c>
      <c r="P355" s="712">
        <v>30094.400679176899</v>
      </c>
    </row>
    <row r="356" spans="1:16" hidden="1">
      <c r="A356" s="709" t="s">
        <v>405</v>
      </c>
      <c r="B356" s="709" t="s">
        <v>669</v>
      </c>
      <c r="C356" s="709" t="s">
        <v>909</v>
      </c>
      <c r="D356" s="709" t="s">
        <v>910</v>
      </c>
      <c r="E356" s="709" t="s">
        <v>911</v>
      </c>
      <c r="F356" s="709" t="s">
        <v>912</v>
      </c>
      <c r="G356" s="709" t="s">
        <v>1070</v>
      </c>
      <c r="H356" s="709">
        <v>5020</v>
      </c>
      <c r="I356" s="709" t="s">
        <v>908</v>
      </c>
      <c r="J356" s="709">
        <v>63300060</v>
      </c>
      <c r="K356" s="709" t="s">
        <v>1113</v>
      </c>
      <c r="L356" s="712">
        <v>16371.669749774621</v>
      </c>
      <c r="M356" s="712">
        <v>17299.999999999996</v>
      </c>
      <c r="N356" s="712">
        <v>17299.999999999996</v>
      </c>
      <c r="O356" s="712">
        <v>17299.999999999996</v>
      </c>
      <c r="P356" s="712">
        <v>17483.817978029427</v>
      </c>
    </row>
    <row r="357" spans="1:16" hidden="1">
      <c r="A357" s="709" t="s">
        <v>287</v>
      </c>
      <c r="B357" s="709" t="s">
        <v>670</v>
      </c>
      <c r="C357" s="709" t="s">
        <v>917</v>
      </c>
      <c r="D357" s="709" t="s">
        <v>918</v>
      </c>
      <c r="E357" s="709" t="s">
        <v>919</v>
      </c>
      <c r="F357" s="709" t="s">
        <v>920</v>
      </c>
      <c r="G357" s="709" t="s">
        <v>1070</v>
      </c>
      <c r="H357" s="709">
        <v>5019</v>
      </c>
      <c r="I357" s="709" t="s">
        <v>921</v>
      </c>
      <c r="J357" s="709">
        <v>63300060</v>
      </c>
      <c r="K357" s="709" t="s">
        <v>1113</v>
      </c>
      <c r="L357" s="712">
        <v>18226.494761887821</v>
      </c>
      <c r="M357" s="712">
        <v>19260.000000000004</v>
      </c>
      <c r="N357" s="712">
        <v>19260.000000000004</v>
      </c>
      <c r="O357" s="712">
        <v>22260.000000000004</v>
      </c>
      <c r="P357" s="712">
        <v>22496.519548608969</v>
      </c>
    </row>
    <row r="358" spans="1:16" hidden="1">
      <c r="A358" s="709" t="s">
        <v>287</v>
      </c>
      <c r="B358" s="709" t="s">
        <v>670</v>
      </c>
      <c r="C358" s="709" t="s">
        <v>1174</v>
      </c>
      <c r="D358" s="709" t="s">
        <v>1175</v>
      </c>
      <c r="E358" s="709" t="s">
        <v>1176</v>
      </c>
      <c r="F358" s="709" t="s">
        <v>1177</v>
      </c>
      <c r="G358" s="709" t="s">
        <v>1070</v>
      </c>
      <c r="H358" s="709">
        <v>5019</v>
      </c>
      <c r="I358" s="709" t="s">
        <v>921</v>
      </c>
      <c r="J358" s="709">
        <v>63300060</v>
      </c>
      <c r="K358" s="709" t="s">
        <v>1113</v>
      </c>
      <c r="L358" s="712">
        <v>18635.313335986233</v>
      </c>
      <c r="M358" s="712">
        <v>19691.999999999996</v>
      </c>
      <c r="N358" s="712">
        <v>19691.999999999996</v>
      </c>
      <c r="O358" s="712">
        <v>34191.999999999993</v>
      </c>
      <c r="P358" s="712">
        <v>34555.30082686602</v>
      </c>
    </row>
    <row r="359" spans="1:16" hidden="1">
      <c r="A359" s="709" t="s">
        <v>287</v>
      </c>
      <c r="B359" s="709" t="s">
        <v>670</v>
      </c>
      <c r="C359" s="709" t="s">
        <v>1178</v>
      </c>
      <c r="D359" s="709" t="s">
        <v>1179</v>
      </c>
      <c r="E359" s="709" t="s">
        <v>1180</v>
      </c>
      <c r="F359" s="709" t="s">
        <v>1181</v>
      </c>
      <c r="G359" s="709" t="s">
        <v>1070</v>
      </c>
      <c r="H359" s="709">
        <v>5019</v>
      </c>
      <c r="I359" s="709" t="s">
        <v>921</v>
      </c>
      <c r="J359" s="709">
        <v>63300060</v>
      </c>
      <c r="K359" s="709" t="s">
        <v>1113</v>
      </c>
      <c r="L359" s="712">
        <v>33514.606022443259</v>
      </c>
      <c r="M359" s="712">
        <v>35415</v>
      </c>
      <c r="N359" s="712">
        <v>35415</v>
      </c>
      <c r="O359" s="712">
        <v>45000</v>
      </c>
      <c r="P359" s="712">
        <v>45478.139249209496</v>
      </c>
    </row>
    <row r="360" spans="1:16" hidden="1">
      <c r="A360" s="709" t="s">
        <v>287</v>
      </c>
      <c r="B360" s="709" t="s">
        <v>670</v>
      </c>
      <c r="C360" s="709" t="s">
        <v>922</v>
      </c>
      <c r="D360" s="709" t="s">
        <v>923</v>
      </c>
      <c r="E360" s="709" t="s">
        <v>924</v>
      </c>
      <c r="F360" s="709" t="s">
        <v>925</v>
      </c>
      <c r="G360" s="709" t="s">
        <v>1070</v>
      </c>
      <c r="H360" s="709">
        <v>5019</v>
      </c>
      <c r="I360" s="709" t="s">
        <v>921</v>
      </c>
      <c r="J360" s="709">
        <v>63300060</v>
      </c>
      <c r="K360" s="709" t="s">
        <v>1113</v>
      </c>
      <c r="L360" s="712">
        <v>36343.479140917589</v>
      </c>
      <c r="M360" s="712">
        <v>38404.279999999977</v>
      </c>
      <c r="N360" s="712">
        <v>38404.279999999977</v>
      </c>
      <c r="O360" s="712">
        <v>38404.279999999977</v>
      </c>
      <c r="P360" s="712">
        <v>38812.337635680669</v>
      </c>
    </row>
    <row r="361" spans="1:16" hidden="1">
      <c r="A361" s="709" t="s">
        <v>287</v>
      </c>
      <c r="B361" s="709" t="s">
        <v>670</v>
      </c>
      <c r="C361" s="709" t="s">
        <v>926</v>
      </c>
      <c r="D361" s="709" t="s">
        <v>927</v>
      </c>
      <c r="E361" s="709" t="s">
        <v>928</v>
      </c>
      <c r="F361" s="709" t="s">
        <v>929</v>
      </c>
      <c r="G361" s="709" t="s">
        <v>1070</v>
      </c>
      <c r="H361" s="709">
        <v>5019</v>
      </c>
      <c r="I361" s="709" t="s">
        <v>921</v>
      </c>
      <c r="J361" s="709">
        <v>63300060</v>
      </c>
      <c r="K361" s="709" t="s">
        <v>1113</v>
      </c>
      <c r="L361" s="712">
        <v>14469.527773066706</v>
      </c>
      <c r="M361" s="712">
        <v>15290</v>
      </c>
      <c r="N361" s="712">
        <v>15290</v>
      </c>
      <c r="O361" s="712">
        <v>0</v>
      </c>
      <c r="P361" s="712">
        <v>0</v>
      </c>
    </row>
    <row r="362" spans="1:16" hidden="1">
      <c r="A362" s="709" t="s">
        <v>287</v>
      </c>
      <c r="B362" s="709" t="s">
        <v>670</v>
      </c>
      <c r="C362" s="709" t="s">
        <v>930</v>
      </c>
      <c r="D362" s="709" t="s">
        <v>931</v>
      </c>
      <c r="E362" s="709" t="s">
        <v>932</v>
      </c>
      <c r="F362" s="709" t="s">
        <v>933</v>
      </c>
      <c r="G362" s="709" t="s">
        <v>1070</v>
      </c>
      <c r="H362" s="709">
        <v>5019</v>
      </c>
      <c r="I362" s="709" t="s">
        <v>921</v>
      </c>
      <c r="J362" s="709">
        <v>63300060</v>
      </c>
      <c r="K362" s="709" t="s">
        <v>1113</v>
      </c>
      <c r="L362" s="712">
        <v>113198.26707854288</v>
      </c>
      <c r="M362" s="712">
        <v>119617.00000000003</v>
      </c>
      <c r="N362" s="712">
        <v>119617.00000000003</v>
      </c>
      <c r="O362" s="712">
        <v>119617.00000000003</v>
      </c>
      <c r="P362" s="712">
        <v>120887.96850161541</v>
      </c>
    </row>
    <row r="363" spans="1:16" hidden="1">
      <c r="A363" s="709" t="s">
        <v>287</v>
      </c>
      <c r="B363" s="709" t="s">
        <v>670</v>
      </c>
      <c r="C363" s="709" t="s">
        <v>1182</v>
      </c>
      <c r="D363" s="709" t="s">
        <v>1183</v>
      </c>
      <c r="E363" s="709" t="s">
        <v>1184</v>
      </c>
      <c r="F363" s="709" t="s">
        <v>1185</v>
      </c>
      <c r="G363" s="709" t="s">
        <v>1070</v>
      </c>
      <c r="H363" s="709">
        <v>5019</v>
      </c>
      <c r="I363" s="709" t="s">
        <v>921</v>
      </c>
      <c r="J363" s="709">
        <v>63300060</v>
      </c>
      <c r="K363" s="709" t="s">
        <v>1113</v>
      </c>
      <c r="L363" s="712">
        <v>444230.59040111001</v>
      </c>
      <c r="M363" s="712">
        <v>469419.99999999994</v>
      </c>
      <c r="N363" s="712">
        <v>478419.99999999994</v>
      </c>
      <c r="O363" s="712">
        <v>487419.99999999994</v>
      </c>
      <c r="P363" s="712">
        <v>492598.99184110423</v>
      </c>
    </row>
    <row r="364" spans="1:16" hidden="1">
      <c r="A364" s="709" t="s">
        <v>287</v>
      </c>
      <c r="B364" s="709" t="s">
        <v>670</v>
      </c>
      <c r="C364" s="709" t="s">
        <v>934</v>
      </c>
      <c r="D364" s="709" t="s">
        <v>935</v>
      </c>
      <c r="E364" s="709" t="s">
        <v>936</v>
      </c>
      <c r="F364" s="709" t="s">
        <v>937</v>
      </c>
      <c r="G364" s="709" t="s">
        <v>1070</v>
      </c>
      <c r="H364" s="709">
        <v>5019</v>
      </c>
      <c r="I364" s="709" t="s">
        <v>921</v>
      </c>
      <c r="J364" s="709">
        <v>63300060</v>
      </c>
      <c r="K364" s="709" t="s">
        <v>1113</v>
      </c>
      <c r="L364" s="712">
        <v>33863.805221152325</v>
      </c>
      <c r="M364" s="712">
        <v>35784.000000000007</v>
      </c>
      <c r="N364" s="712">
        <v>35784.000000000007</v>
      </c>
      <c r="O364" s="712">
        <v>35784.000000000007</v>
      </c>
      <c r="P364" s="712">
        <v>36164.216330971401</v>
      </c>
    </row>
    <row r="365" spans="1:16" hidden="1">
      <c r="A365" s="709" t="s">
        <v>287</v>
      </c>
      <c r="B365" s="709" t="s">
        <v>670</v>
      </c>
      <c r="C365" s="709" t="s">
        <v>1186</v>
      </c>
      <c r="D365" s="709" t="s">
        <v>1187</v>
      </c>
      <c r="E365" s="709" t="s">
        <v>1188</v>
      </c>
      <c r="F365" s="709" t="s">
        <v>1189</v>
      </c>
      <c r="G365" s="709" t="s">
        <v>1070</v>
      </c>
      <c r="H365" s="709">
        <v>5019</v>
      </c>
      <c r="I365" s="709" t="s">
        <v>921</v>
      </c>
      <c r="J365" s="709">
        <v>63300060</v>
      </c>
      <c r="K365" s="709" t="s">
        <v>1113</v>
      </c>
      <c r="L365" s="712">
        <v>482633.0388665669</v>
      </c>
      <c r="M365" s="712">
        <v>510000.0000004</v>
      </c>
      <c r="N365" s="712">
        <v>516000.0000004</v>
      </c>
      <c r="O365" s="712">
        <v>523000.0000004</v>
      </c>
      <c r="P365" s="712">
        <v>528557.04060788348</v>
      </c>
    </row>
    <row r="366" spans="1:16" hidden="1">
      <c r="A366" s="709" t="s">
        <v>287</v>
      </c>
      <c r="B366" s="709" t="s">
        <v>670</v>
      </c>
      <c r="C366" s="709" t="s">
        <v>938</v>
      </c>
      <c r="D366" s="709" t="s">
        <v>939</v>
      </c>
      <c r="E366" s="709" t="s">
        <v>940</v>
      </c>
      <c r="F366" s="709" t="s">
        <v>941</v>
      </c>
      <c r="G366" s="709" t="s">
        <v>1070</v>
      </c>
      <c r="H366" s="709">
        <v>5019</v>
      </c>
      <c r="I366" s="709" t="s">
        <v>921</v>
      </c>
      <c r="J366" s="709">
        <v>63300060</v>
      </c>
      <c r="K366" s="709" t="s">
        <v>1113</v>
      </c>
      <c r="L366" s="712">
        <v>4182.8196701736324</v>
      </c>
      <c r="M366" s="712">
        <v>4420</v>
      </c>
      <c r="N366" s="712">
        <v>4420</v>
      </c>
      <c r="O366" s="712">
        <v>4420</v>
      </c>
      <c r="P366" s="712">
        <v>4466.9638995890218</v>
      </c>
    </row>
    <row r="367" spans="1:16" hidden="1">
      <c r="A367" s="709" t="s">
        <v>287</v>
      </c>
      <c r="B367" s="709" t="s">
        <v>670</v>
      </c>
      <c r="C367" s="709" t="s">
        <v>942</v>
      </c>
      <c r="D367" s="709" t="s">
        <v>943</v>
      </c>
      <c r="E367" s="709" t="s">
        <v>944</v>
      </c>
      <c r="F367" s="709" t="s">
        <v>945</v>
      </c>
      <c r="G367" s="709" t="s">
        <v>1070</v>
      </c>
      <c r="H367" s="709">
        <v>5019</v>
      </c>
      <c r="I367" s="709" t="s">
        <v>921</v>
      </c>
      <c r="J367" s="709">
        <v>63300060</v>
      </c>
      <c r="K367" s="709" t="s">
        <v>1113</v>
      </c>
      <c r="L367" s="712">
        <v>32501.076640824253</v>
      </c>
      <c r="M367" s="712">
        <v>34343.999999999993</v>
      </c>
      <c r="N367" s="712">
        <v>34343.999999999993</v>
      </c>
      <c r="O367" s="712">
        <v>34343.999999999993</v>
      </c>
      <c r="P367" s="712">
        <v>34708.915874996681</v>
      </c>
    </row>
    <row r="368" spans="1:16" hidden="1">
      <c r="A368" s="709" t="s">
        <v>287</v>
      </c>
      <c r="B368" s="709" t="s">
        <v>670</v>
      </c>
      <c r="C368" s="709" t="s">
        <v>946</v>
      </c>
      <c r="D368" s="709" t="s">
        <v>947</v>
      </c>
      <c r="E368" s="709" t="s">
        <v>948</v>
      </c>
      <c r="F368" s="709" t="s">
        <v>949</v>
      </c>
      <c r="G368" s="709" t="s">
        <v>1070</v>
      </c>
      <c r="H368" s="709">
        <v>5019</v>
      </c>
      <c r="I368" s="709" t="s">
        <v>921</v>
      </c>
      <c r="J368" s="709">
        <v>63300060</v>
      </c>
      <c r="K368" s="709" t="s">
        <v>1113</v>
      </c>
      <c r="L368" s="712">
        <v>146056.11363241132</v>
      </c>
      <c r="M368" s="712">
        <v>154338</v>
      </c>
      <c r="N368" s="712">
        <v>89338</v>
      </c>
      <c r="O368" s="712">
        <v>199338</v>
      </c>
      <c r="P368" s="712">
        <v>201456.02937019829</v>
      </c>
    </row>
    <row r="369" spans="1:16" hidden="1">
      <c r="A369" s="709" t="s">
        <v>403</v>
      </c>
      <c r="B369" s="709" t="s">
        <v>671</v>
      </c>
      <c r="C369" s="709" t="s">
        <v>950</v>
      </c>
      <c r="D369" s="709" t="s">
        <v>951</v>
      </c>
      <c r="E369" s="709" t="s">
        <v>952</v>
      </c>
      <c r="F369" s="709" t="s">
        <v>953</v>
      </c>
      <c r="G369" s="709" t="s">
        <v>1070</v>
      </c>
      <c r="H369" s="709">
        <v>5017</v>
      </c>
      <c r="I369" s="709" t="s">
        <v>954</v>
      </c>
      <c r="J369" s="709">
        <v>63300060</v>
      </c>
      <c r="K369" s="709" t="s">
        <v>1113</v>
      </c>
      <c r="L369" s="712">
        <v>60091.59869600807</v>
      </c>
      <c r="M369" s="712">
        <v>63499.000000000044</v>
      </c>
      <c r="N369" s="712">
        <v>70311.000000000044</v>
      </c>
      <c r="O369" s="712">
        <v>63499.000000000044</v>
      </c>
      <c r="P369" s="712">
        <v>64173.696981901237</v>
      </c>
    </row>
    <row r="370" spans="1:16" hidden="1">
      <c r="A370" s="709" t="s">
        <v>403</v>
      </c>
      <c r="B370" s="709" t="s">
        <v>671</v>
      </c>
      <c r="C370" s="709" t="s">
        <v>955</v>
      </c>
      <c r="D370" s="709" t="s">
        <v>956</v>
      </c>
      <c r="E370" s="709" t="s">
        <v>957</v>
      </c>
      <c r="F370" s="709" t="s">
        <v>958</v>
      </c>
      <c r="G370" s="709" t="s">
        <v>1070</v>
      </c>
      <c r="H370" s="709">
        <v>5017</v>
      </c>
      <c r="I370" s="709" t="s">
        <v>954</v>
      </c>
      <c r="J370" s="709">
        <v>63300060</v>
      </c>
      <c r="K370" s="709" t="s">
        <v>1113</v>
      </c>
      <c r="L370" s="712">
        <v>134.38017944901716</v>
      </c>
      <c r="M370" s="712">
        <v>142.00000000000003</v>
      </c>
      <c r="N370" s="712">
        <v>142.00000000000003</v>
      </c>
      <c r="O370" s="712">
        <v>142.00000000000003</v>
      </c>
      <c r="P370" s="712">
        <v>143.50879496417221</v>
      </c>
    </row>
    <row r="371" spans="1:16" hidden="1">
      <c r="A371" s="709" t="s">
        <v>403</v>
      </c>
      <c r="B371" s="709" t="s">
        <v>671</v>
      </c>
      <c r="C371" s="709" t="s">
        <v>1190</v>
      </c>
      <c r="D371" s="709" t="s">
        <v>1191</v>
      </c>
      <c r="E371" s="709" t="s">
        <v>1192</v>
      </c>
      <c r="F371" s="709" t="s">
        <v>1193</v>
      </c>
      <c r="G371" s="709" t="s">
        <v>1070</v>
      </c>
      <c r="H371" s="709">
        <v>5017</v>
      </c>
      <c r="I371" s="709" t="s">
        <v>954</v>
      </c>
      <c r="J371" s="709">
        <v>63300060</v>
      </c>
      <c r="K371" s="709" t="s">
        <v>1113</v>
      </c>
      <c r="L371" s="712">
        <v>28975.962778517296</v>
      </c>
      <c r="M371" s="712">
        <v>30619</v>
      </c>
      <c r="N371" s="712">
        <v>30619</v>
      </c>
      <c r="O371" s="712">
        <v>30619</v>
      </c>
      <c r="P371" s="712">
        <v>30944.33657047879</v>
      </c>
    </row>
    <row r="372" spans="1:16" hidden="1">
      <c r="A372" s="709" t="s">
        <v>403</v>
      </c>
      <c r="B372" s="709" t="s">
        <v>671</v>
      </c>
      <c r="C372" s="709" t="s">
        <v>959</v>
      </c>
      <c r="D372" s="709" t="s">
        <v>960</v>
      </c>
      <c r="E372" s="709" t="s">
        <v>961</v>
      </c>
      <c r="F372" s="709" t="s">
        <v>962</v>
      </c>
      <c r="G372" s="709" t="s">
        <v>1070</v>
      </c>
      <c r="H372" s="709">
        <v>5017</v>
      </c>
      <c r="I372" s="709" t="s">
        <v>954</v>
      </c>
      <c r="J372" s="709">
        <v>63300060</v>
      </c>
      <c r="K372" s="709" t="s">
        <v>1113</v>
      </c>
      <c r="L372" s="712">
        <v>112612.48305686015</v>
      </c>
      <c r="M372" s="712">
        <v>118997.99999999999</v>
      </c>
      <c r="N372" s="712">
        <v>118997.99999999999</v>
      </c>
      <c r="O372" s="712">
        <v>118997.99999999999</v>
      </c>
      <c r="P372" s="712">
        <v>120262.39143060958</v>
      </c>
    </row>
    <row r="373" spans="1:16" hidden="1">
      <c r="A373" s="709" t="s">
        <v>403</v>
      </c>
      <c r="B373" s="709" t="s">
        <v>671</v>
      </c>
      <c r="C373" s="709" t="s">
        <v>967</v>
      </c>
      <c r="D373" s="709" t="s">
        <v>968</v>
      </c>
      <c r="E373" s="709" t="s">
        <v>969</v>
      </c>
      <c r="F373" s="709" t="s">
        <v>970</v>
      </c>
      <c r="G373" s="709" t="s">
        <v>1070</v>
      </c>
      <c r="H373" s="709">
        <v>5017</v>
      </c>
      <c r="I373" s="709" t="s">
        <v>954</v>
      </c>
      <c r="J373" s="709">
        <v>63300060</v>
      </c>
      <c r="K373" s="709" t="s">
        <v>1113</v>
      </c>
      <c r="L373" s="712">
        <v>136225.54106821129</v>
      </c>
      <c r="M373" s="712">
        <v>143949.99999999988</v>
      </c>
      <c r="N373" s="712">
        <v>82557.999999999927</v>
      </c>
      <c r="O373" s="712">
        <v>158096.99999999985</v>
      </c>
      <c r="P373" s="712">
        <v>159776.83068627262</v>
      </c>
    </row>
    <row r="374" spans="1:16" hidden="1">
      <c r="A374" s="709" t="s">
        <v>403</v>
      </c>
      <c r="B374" s="709" t="s">
        <v>671</v>
      </c>
      <c r="C374" s="709" t="s">
        <v>1194</v>
      </c>
      <c r="D374" s="709" t="s">
        <v>1195</v>
      </c>
      <c r="E374" s="709" t="s">
        <v>1196</v>
      </c>
      <c r="F374" s="709" t="s">
        <v>1197</v>
      </c>
      <c r="G374" s="709" t="s">
        <v>1070</v>
      </c>
      <c r="H374" s="709">
        <v>5017</v>
      </c>
      <c r="I374" s="709" t="s">
        <v>954</v>
      </c>
      <c r="J374" s="709">
        <v>63300060</v>
      </c>
      <c r="K374" s="709" t="s">
        <v>1113</v>
      </c>
      <c r="L374" s="712">
        <v>314536.12478537217</v>
      </c>
      <c r="M374" s="712">
        <v>332371.40999999997</v>
      </c>
      <c r="N374" s="712">
        <v>338371.41</v>
      </c>
      <c r="O374" s="712">
        <v>344550</v>
      </c>
      <c r="P374" s="712">
        <v>348210.95285144739</v>
      </c>
    </row>
    <row r="375" spans="1:16" hidden="1">
      <c r="A375" s="709" t="s">
        <v>403</v>
      </c>
      <c r="B375" s="709" t="s">
        <v>671</v>
      </c>
      <c r="C375" s="709" t="s">
        <v>1198</v>
      </c>
      <c r="D375" s="709" t="s">
        <v>1199</v>
      </c>
      <c r="E375" s="709" t="s">
        <v>1200</v>
      </c>
      <c r="F375" s="709" t="s">
        <v>1201</v>
      </c>
      <c r="G375" s="709" t="s">
        <v>1070</v>
      </c>
      <c r="H375" s="709">
        <v>5017</v>
      </c>
      <c r="I375" s="709" t="s">
        <v>954</v>
      </c>
      <c r="J375" s="709">
        <v>63300060</v>
      </c>
      <c r="K375" s="709" t="s">
        <v>1113</v>
      </c>
      <c r="L375" s="712">
        <v>311105.25685314502</v>
      </c>
      <c r="M375" s="712">
        <v>328746</v>
      </c>
      <c r="N375" s="712">
        <v>338608</v>
      </c>
      <c r="O375" s="712">
        <v>348767</v>
      </c>
      <c r="P375" s="712">
        <v>352472.75981175661</v>
      </c>
    </row>
    <row r="376" spans="1:16" hidden="1">
      <c r="A376" s="709" t="s">
        <v>403</v>
      </c>
      <c r="B376" s="709" t="s">
        <v>671</v>
      </c>
      <c r="C376" s="709" t="s">
        <v>975</v>
      </c>
      <c r="D376" s="709" t="s">
        <v>976</v>
      </c>
      <c r="E376" s="709" t="s">
        <v>977</v>
      </c>
      <c r="F376" s="709" t="s">
        <v>978</v>
      </c>
      <c r="G376" s="709" t="s">
        <v>1070</v>
      </c>
      <c r="H376" s="709">
        <v>5017</v>
      </c>
      <c r="I376" s="709" t="s">
        <v>954</v>
      </c>
      <c r="J376" s="709">
        <v>63300060</v>
      </c>
      <c r="K376" s="709" t="s">
        <v>1113</v>
      </c>
      <c r="L376" s="712">
        <v>18926.78583788974</v>
      </c>
      <c r="M376" s="712">
        <v>20000</v>
      </c>
      <c r="N376" s="712">
        <v>20000</v>
      </c>
      <c r="O376" s="712">
        <v>20000</v>
      </c>
      <c r="P376" s="712">
        <v>20212.506332982</v>
      </c>
    </row>
    <row r="377" spans="1:16" hidden="1">
      <c r="A377" s="709" t="s">
        <v>403</v>
      </c>
      <c r="B377" s="709" t="s">
        <v>671</v>
      </c>
      <c r="C377" s="709" t="s">
        <v>979</v>
      </c>
      <c r="D377" s="709" t="s">
        <v>980</v>
      </c>
      <c r="E377" s="709" t="s">
        <v>981</v>
      </c>
      <c r="F377" s="709" t="s">
        <v>982</v>
      </c>
      <c r="G377" s="709" t="s">
        <v>1070</v>
      </c>
      <c r="H377" s="709">
        <v>5017</v>
      </c>
      <c r="I377" s="709" t="s">
        <v>954</v>
      </c>
      <c r="J377" s="709">
        <v>63300060</v>
      </c>
      <c r="K377" s="709" t="s">
        <v>1113</v>
      </c>
      <c r="L377" s="712">
        <v>14358.80607591505</v>
      </c>
      <c r="M377" s="712">
        <v>15173</v>
      </c>
      <c r="N377" s="712">
        <v>15173</v>
      </c>
      <c r="O377" s="712">
        <v>15173</v>
      </c>
      <c r="P377" s="712">
        <v>15334.217929516793</v>
      </c>
    </row>
    <row r="378" spans="1:16" hidden="1">
      <c r="A378" s="709" t="s">
        <v>403</v>
      </c>
      <c r="B378" s="709" t="s">
        <v>671</v>
      </c>
      <c r="C378" s="709" t="s">
        <v>1202</v>
      </c>
      <c r="D378" s="709" t="s">
        <v>1203</v>
      </c>
      <c r="E378" s="709" t="s">
        <v>1204</v>
      </c>
      <c r="F378" s="709" t="s">
        <v>1205</v>
      </c>
      <c r="G378" s="709" t="s">
        <v>1070</v>
      </c>
      <c r="H378" s="709">
        <v>5017</v>
      </c>
      <c r="I378" s="709" t="s">
        <v>954</v>
      </c>
      <c r="J378" s="709">
        <v>63300060</v>
      </c>
      <c r="K378" s="709" t="s">
        <v>1113</v>
      </c>
      <c r="L378" s="712">
        <v>6193.7906654494172</v>
      </c>
      <c r="M378" s="712">
        <v>6545</v>
      </c>
      <c r="N378" s="712">
        <v>6545</v>
      </c>
      <c r="O378" s="712">
        <v>6545</v>
      </c>
      <c r="P378" s="712">
        <v>6614.5426974683587</v>
      </c>
    </row>
    <row r="379" spans="1:16" hidden="1">
      <c r="A379" s="709" t="s">
        <v>403</v>
      </c>
      <c r="B379" s="709" t="s">
        <v>671</v>
      </c>
      <c r="C379" s="709" t="s">
        <v>983</v>
      </c>
      <c r="D379" s="709" t="s">
        <v>984</v>
      </c>
      <c r="E379" s="709" t="s">
        <v>985</v>
      </c>
      <c r="F379" s="709" t="s">
        <v>986</v>
      </c>
      <c r="G379" s="709" t="s">
        <v>1070</v>
      </c>
      <c r="H379" s="709">
        <v>5017</v>
      </c>
      <c r="I379" s="709" t="s">
        <v>954</v>
      </c>
      <c r="J379" s="709">
        <v>63300060</v>
      </c>
      <c r="K379" s="709" t="s">
        <v>1113</v>
      </c>
      <c r="L379" s="712">
        <v>34179.882544645086</v>
      </c>
      <c r="M379" s="712">
        <v>36118.000000000007</v>
      </c>
      <c r="N379" s="712">
        <v>36118.000000000007</v>
      </c>
      <c r="O379" s="712">
        <v>36118.000000000007</v>
      </c>
      <c r="P379" s="712">
        <v>36501.765186732198</v>
      </c>
    </row>
    <row r="380" spans="1:16" hidden="1">
      <c r="A380" s="709" t="s">
        <v>397</v>
      </c>
      <c r="B380" s="709" t="s">
        <v>673</v>
      </c>
      <c r="C380" s="709" t="s">
        <v>987</v>
      </c>
      <c r="D380" s="709" t="s">
        <v>988</v>
      </c>
      <c r="E380" s="709" t="s">
        <v>989</v>
      </c>
      <c r="F380" s="709" t="s">
        <v>990</v>
      </c>
      <c r="G380" s="709" t="s">
        <v>1070</v>
      </c>
      <c r="H380" s="709">
        <v>5009</v>
      </c>
      <c r="I380" s="709" t="s">
        <v>991</v>
      </c>
      <c r="J380" s="709">
        <v>63300060</v>
      </c>
      <c r="K380" s="709" t="s">
        <v>1113</v>
      </c>
      <c r="L380" s="712">
        <v>14013.392234373563</v>
      </c>
      <c r="M380" s="712">
        <v>14808</v>
      </c>
      <c r="N380" s="712">
        <v>14808</v>
      </c>
      <c r="O380" s="712">
        <v>14808</v>
      </c>
      <c r="P380" s="712">
        <v>14965.339688939872</v>
      </c>
    </row>
    <row r="381" spans="1:16" hidden="1">
      <c r="A381" s="709" t="s">
        <v>404</v>
      </c>
      <c r="B381" s="709" t="s">
        <v>673</v>
      </c>
      <c r="C381" s="709" t="s">
        <v>1206</v>
      </c>
      <c r="D381" s="709" t="s">
        <v>1207</v>
      </c>
      <c r="E381" s="709" t="s">
        <v>1208</v>
      </c>
      <c r="F381" s="709" t="s">
        <v>1209</v>
      </c>
      <c r="G381" s="709" t="s">
        <v>1070</v>
      </c>
      <c r="H381" s="709">
        <v>5009</v>
      </c>
      <c r="I381" s="709" t="s">
        <v>991</v>
      </c>
      <c r="J381" s="709">
        <v>63300060</v>
      </c>
      <c r="K381" s="709" t="s">
        <v>1113</v>
      </c>
      <c r="L381" s="712">
        <v>5838.9134309889841</v>
      </c>
      <c r="M381" s="712">
        <v>6170</v>
      </c>
      <c r="N381" s="712">
        <v>6170</v>
      </c>
      <c r="O381" s="712">
        <v>6170</v>
      </c>
      <c r="P381" s="712">
        <v>6235.5582037249469</v>
      </c>
    </row>
    <row r="382" spans="1:16" hidden="1">
      <c r="A382" s="709" t="s">
        <v>404</v>
      </c>
      <c r="B382" s="709" t="s">
        <v>673</v>
      </c>
      <c r="C382" s="709" t="s">
        <v>1210</v>
      </c>
      <c r="D382" s="709" t="s">
        <v>1211</v>
      </c>
      <c r="E382" s="709" t="s">
        <v>1212</v>
      </c>
      <c r="F382" s="709" t="s">
        <v>1213</v>
      </c>
      <c r="G382" s="709" t="s">
        <v>1070</v>
      </c>
      <c r="H382" s="709">
        <v>5009</v>
      </c>
      <c r="I382" s="709" t="s">
        <v>991</v>
      </c>
      <c r="J382" s="709">
        <v>63300060</v>
      </c>
      <c r="K382" s="709" t="s">
        <v>1113</v>
      </c>
      <c r="L382" s="712">
        <v>16436.02082162345</v>
      </c>
      <c r="M382" s="712">
        <v>17368</v>
      </c>
      <c r="N382" s="712">
        <v>17368</v>
      </c>
      <c r="O382" s="712">
        <v>17368</v>
      </c>
      <c r="P382" s="712">
        <v>17552.540499561568</v>
      </c>
    </row>
    <row r="383" spans="1:16" hidden="1">
      <c r="A383" s="709" t="s">
        <v>404</v>
      </c>
      <c r="B383" s="709" t="s">
        <v>673</v>
      </c>
      <c r="C383" s="709" t="s">
        <v>992</v>
      </c>
      <c r="D383" s="709" t="s">
        <v>993</v>
      </c>
      <c r="E383" s="709" t="s">
        <v>994</v>
      </c>
      <c r="F383" s="709" t="s">
        <v>995</v>
      </c>
      <c r="G383" s="709" t="s">
        <v>1070</v>
      </c>
      <c r="H383" s="709">
        <v>5009</v>
      </c>
      <c r="I383" s="709" t="s">
        <v>991</v>
      </c>
      <c r="J383" s="709">
        <v>63300060</v>
      </c>
      <c r="K383" s="709" t="s">
        <v>1113</v>
      </c>
      <c r="L383" s="712">
        <v>1692.0546539073428</v>
      </c>
      <c r="M383" s="712">
        <v>1788</v>
      </c>
      <c r="N383" s="712">
        <v>1788</v>
      </c>
      <c r="O383" s="712">
        <v>1788</v>
      </c>
      <c r="P383" s="712">
        <v>1806.9980661685906</v>
      </c>
    </row>
    <row r="384" spans="1:16" hidden="1">
      <c r="A384" s="709" t="s">
        <v>542</v>
      </c>
      <c r="B384" s="709" t="s">
        <v>673</v>
      </c>
      <c r="C384" s="709" t="s">
        <v>996</v>
      </c>
      <c r="D384" s="709" t="s">
        <v>997</v>
      </c>
      <c r="E384" s="709" t="s">
        <v>998</v>
      </c>
      <c r="F384" s="709" t="s">
        <v>999</v>
      </c>
      <c r="G384" s="709" t="s">
        <v>1070</v>
      </c>
      <c r="H384" s="709">
        <v>5009</v>
      </c>
      <c r="I384" s="709" t="s">
        <v>991</v>
      </c>
      <c r="J384" s="709">
        <v>63300060</v>
      </c>
      <c r="K384" s="709" t="s">
        <v>1113</v>
      </c>
      <c r="L384" s="712">
        <v>45708.187798503721</v>
      </c>
      <c r="M384" s="712">
        <v>48300</v>
      </c>
      <c r="N384" s="712">
        <v>48300</v>
      </c>
      <c r="O384" s="712">
        <v>48300</v>
      </c>
      <c r="P384" s="712">
        <v>48813.202794151526</v>
      </c>
    </row>
    <row r="385" spans="1:16" hidden="1">
      <c r="A385" s="709" t="s">
        <v>542</v>
      </c>
      <c r="B385" s="709" t="s">
        <v>673</v>
      </c>
      <c r="C385" s="709" t="s">
        <v>1214</v>
      </c>
      <c r="D385" s="709" t="s">
        <v>1215</v>
      </c>
      <c r="E385" s="709" t="s">
        <v>1216</v>
      </c>
      <c r="F385" s="709" t="s">
        <v>1217</v>
      </c>
      <c r="G385" s="709" t="s">
        <v>1070</v>
      </c>
      <c r="H385" s="709">
        <v>5009</v>
      </c>
      <c r="I385" s="709" t="s">
        <v>991</v>
      </c>
      <c r="J385" s="709">
        <v>63300060</v>
      </c>
      <c r="K385" s="709" t="s">
        <v>1113</v>
      </c>
      <c r="L385" s="712">
        <v>31279.352614988478</v>
      </c>
      <c r="M385" s="712">
        <v>33053</v>
      </c>
      <c r="N385" s="712">
        <v>33115</v>
      </c>
      <c r="O385" s="712">
        <v>33126</v>
      </c>
      <c r="P385" s="712">
        <v>33477.974239318086</v>
      </c>
    </row>
    <row r="386" spans="1:16" hidden="1">
      <c r="A386" s="709" t="s">
        <v>542</v>
      </c>
      <c r="B386" s="709" t="s">
        <v>673</v>
      </c>
      <c r="C386" s="709" t="s">
        <v>1004</v>
      </c>
      <c r="D386" s="709" t="s">
        <v>1005</v>
      </c>
      <c r="E386" s="709" t="s">
        <v>1006</v>
      </c>
      <c r="F386" s="709" t="s">
        <v>1007</v>
      </c>
      <c r="G386" s="709" t="s">
        <v>1070</v>
      </c>
      <c r="H386" s="709">
        <v>5009</v>
      </c>
      <c r="I386" s="709" t="s">
        <v>991</v>
      </c>
      <c r="J386" s="709">
        <v>63300060</v>
      </c>
      <c r="K386" s="709" t="s">
        <v>1113</v>
      </c>
      <c r="L386" s="712">
        <v>45489.583422076095</v>
      </c>
      <c r="M386" s="712">
        <v>48069</v>
      </c>
      <c r="N386" s="712">
        <v>48088</v>
      </c>
      <c r="O386" s="712">
        <v>48107</v>
      </c>
      <c r="P386" s="712">
        <v>48618.152108038252</v>
      </c>
    </row>
    <row r="387" spans="1:16" hidden="1">
      <c r="A387" s="709" t="s">
        <v>542</v>
      </c>
      <c r="B387" s="709" t="s">
        <v>673</v>
      </c>
      <c r="C387" s="709" t="s">
        <v>1008</v>
      </c>
      <c r="D387" s="709" t="s">
        <v>1009</v>
      </c>
      <c r="E387" s="709" t="s">
        <v>1010</v>
      </c>
      <c r="F387" s="709" t="s">
        <v>1011</v>
      </c>
      <c r="G387" s="709" t="s">
        <v>1070</v>
      </c>
      <c r="H387" s="709">
        <v>5009</v>
      </c>
      <c r="I387" s="709" t="s">
        <v>991</v>
      </c>
      <c r="J387" s="709">
        <v>63300060</v>
      </c>
      <c r="K387" s="709" t="s">
        <v>1113</v>
      </c>
      <c r="L387" s="712">
        <v>23355.653723955933</v>
      </c>
      <c r="M387" s="712">
        <v>24679.999999999993</v>
      </c>
      <c r="N387" s="712">
        <v>24679.999999999993</v>
      </c>
      <c r="O387" s="712">
        <v>24679.999999999993</v>
      </c>
      <c r="P387" s="712">
        <v>24942.23281489978</v>
      </c>
    </row>
    <row r="388" spans="1:16" hidden="1">
      <c r="A388" s="709" t="s">
        <v>542</v>
      </c>
      <c r="B388" s="709" t="s">
        <v>673</v>
      </c>
      <c r="C388" s="709" t="s">
        <v>1218</v>
      </c>
      <c r="D388" s="709" t="s">
        <v>1219</v>
      </c>
      <c r="E388" s="709" t="s">
        <v>1220</v>
      </c>
      <c r="F388" s="709" t="s">
        <v>1221</v>
      </c>
      <c r="G388" s="709" t="s">
        <v>1070</v>
      </c>
      <c r="H388" s="709">
        <v>5009</v>
      </c>
      <c r="I388" s="709" t="s">
        <v>991</v>
      </c>
      <c r="J388" s="709">
        <v>63300060</v>
      </c>
      <c r="K388" s="709" t="s">
        <v>1113</v>
      </c>
      <c r="L388" s="712">
        <v>92268.080959712475</v>
      </c>
      <c r="M388" s="712">
        <v>97500</v>
      </c>
      <c r="N388" s="712">
        <v>89300</v>
      </c>
      <c r="O388" s="712">
        <v>146500</v>
      </c>
      <c r="P388" s="712">
        <v>148056.60888909313</v>
      </c>
    </row>
    <row r="389" spans="1:16" hidden="1">
      <c r="A389" s="709" t="s">
        <v>542</v>
      </c>
      <c r="B389" s="709" t="s">
        <v>673</v>
      </c>
      <c r="C389" s="709" t="s">
        <v>1222</v>
      </c>
      <c r="D389" s="709" t="s">
        <v>1223</v>
      </c>
      <c r="E389" s="709" t="s">
        <v>1224</v>
      </c>
      <c r="F389" s="709" t="s">
        <v>1225</v>
      </c>
      <c r="G389" s="709" t="s">
        <v>1070</v>
      </c>
      <c r="H389" s="709">
        <v>5009</v>
      </c>
      <c r="I389" s="709" t="s">
        <v>991</v>
      </c>
      <c r="J389" s="709">
        <v>63300060</v>
      </c>
      <c r="K389" s="709" t="s">
        <v>1113</v>
      </c>
      <c r="L389" s="712">
        <v>9258.0372926037653</v>
      </c>
      <c r="M389" s="712">
        <v>9783</v>
      </c>
      <c r="N389" s="712">
        <v>9783</v>
      </c>
      <c r="O389" s="712">
        <v>9783</v>
      </c>
      <c r="P389" s="712">
        <v>9886.9474727781453</v>
      </c>
    </row>
    <row r="390" spans="1:16" hidden="1">
      <c r="A390" s="709" t="s">
        <v>542</v>
      </c>
      <c r="B390" s="709" t="s">
        <v>673</v>
      </c>
      <c r="C390" s="709" t="s">
        <v>1226</v>
      </c>
      <c r="D390" s="709" t="s">
        <v>1227</v>
      </c>
      <c r="E390" s="709" t="s">
        <v>1228</v>
      </c>
      <c r="F390" s="709" t="s">
        <v>1229</v>
      </c>
      <c r="G390" s="709" t="s">
        <v>1070</v>
      </c>
      <c r="H390" s="709">
        <v>5009</v>
      </c>
      <c r="I390" s="709" t="s">
        <v>991</v>
      </c>
      <c r="J390" s="709">
        <v>63300060</v>
      </c>
      <c r="K390" s="709" t="s">
        <v>1113</v>
      </c>
      <c r="L390" s="712">
        <v>9160.5643455386344</v>
      </c>
      <c r="M390" s="712">
        <v>9680</v>
      </c>
      <c r="N390" s="712">
        <v>9680</v>
      </c>
      <c r="O390" s="712">
        <v>9680</v>
      </c>
      <c r="P390" s="712">
        <v>9782.8530651632882</v>
      </c>
    </row>
    <row r="391" spans="1:16" hidden="1">
      <c r="A391" s="709" t="s">
        <v>542</v>
      </c>
      <c r="B391" s="709" t="s">
        <v>673</v>
      </c>
      <c r="C391" s="709" t="s">
        <v>1016</v>
      </c>
      <c r="D391" s="709" t="s">
        <v>1017</v>
      </c>
      <c r="E391" s="709" t="s">
        <v>1018</v>
      </c>
      <c r="F391" s="709" t="s">
        <v>1019</v>
      </c>
      <c r="G391" s="709" t="s">
        <v>1070</v>
      </c>
      <c r="H391" s="709">
        <v>5009</v>
      </c>
      <c r="I391" s="709" t="s">
        <v>991</v>
      </c>
      <c r="J391" s="709">
        <v>63300060</v>
      </c>
      <c r="K391" s="709" t="s">
        <v>1113</v>
      </c>
      <c r="L391" s="712">
        <v>46938.428877966551</v>
      </c>
      <c r="M391" s="712">
        <v>49600</v>
      </c>
      <c r="N391" s="712">
        <v>61075</v>
      </c>
      <c r="O391" s="712">
        <v>49600</v>
      </c>
      <c r="P391" s="712">
        <v>50127.015705795355</v>
      </c>
    </row>
    <row r="392" spans="1:16" hidden="1">
      <c r="A392" s="709" t="s">
        <v>400</v>
      </c>
      <c r="B392" s="709" t="s">
        <v>673</v>
      </c>
      <c r="C392" s="709" t="s">
        <v>1230</v>
      </c>
      <c r="D392" s="709" t="s">
        <v>1231</v>
      </c>
      <c r="E392" s="709" t="s">
        <v>1232</v>
      </c>
      <c r="F392" s="709" t="s">
        <v>1233</v>
      </c>
      <c r="G392" s="709" t="s">
        <v>1070</v>
      </c>
      <c r="H392" s="709">
        <v>5009</v>
      </c>
      <c r="I392" s="709" t="s">
        <v>991</v>
      </c>
      <c r="J392" s="709">
        <v>63300060</v>
      </c>
      <c r="K392" s="709" t="s">
        <v>1113</v>
      </c>
      <c r="L392" s="712">
        <v>179127.83286624798</v>
      </c>
      <c r="M392" s="712">
        <v>189285</v>
      </c>
      <c r="N392" s="712">
        <v>189337</v>
      </c>
      <c r="O392" s="712">
        <v>189390</v>
      </c>
      <c r="P392" s="712">
        <v>191402.32872017304</v>
      </c>
    </row>
    <row r="393" spans="1:16" hidden="1">
      <c r="A393" s="709" t="s">
        <v>400</v>
      </c>
      <c r="B393" s="709" t="s">
        <v>673</v>
      </c>
      <c r="C393" s="709" t="s">
        <v>1024</v>
      </c>
      <c r="D393" s="709" t="s">
        <v>1025</v>
      </c>
      <c r="E393" s="709" t="s">
        <v>1026</v>
      </c>
      <c r="F393" s="709" t="s">
        <v>1027</v>
      </c>
      <c r="G393" s="709" t="s">
        <v>1070</v>
      </c>
      <c r="H393" s="709">
        <v>5009</v>
      </c>
      <c r="I393" s="709" t="s">
        <v>991</v>
      </c>
      <c r="J393" s="709">
        <v>63300060</v>
      </c>
      <c r="K393" s="709" t="s">
        <v>1113</v>
      </c>
      <c r="L393" s="712">
        <v>67746.537228142523</v>
      </c>
      <c r="M393" s="712">
        <v>71587.999999999985</v>
      </c>
      <c r="N393" s="712">
        <v>71587.999999999985</v>
      </c>
      <c r="O393" s="712">
        <v>71587.999999999985</v>
      </c>
      <c r="P393" s="712">
        <v>72348.645168275747</v>
      </c>
    </row>
    <row r="394" spans="1:16" hidden="1">
      <c r="A394" s="709" t="s">
        <v>400</v>
      </c>
      <c r="B394" s="709" t="s">
        <v>673</v>
      </c>
      <c r="C394" s="709" t="s">
        <v>1234</v>
      </c>
      <c r="D394" s="709" t="s">
        <v>1235</v>
      </c>
      <c r="E394" s="709" t="s">
        <v>1236</v>
      </c>
      <c r="F394" s="709" t="s">
        <v>1237</v>
      </c>
      <c r="G394" s="709" t="s">
        <v>1070</v>
      </c>
      <c r="H394" s="709">
        <v>5009</v>
      </c>
      <c r="I394" s="709" t="s">
        <v>991</v>
      </c>
      <c r="J394" s="709">
        <v>63300060</v>
      </c>
      <c r="K394" s="709" t="s">
        <v>1113</v>
      </c>
      <c r="L394" s="712">
        <v>2253.2338540007736</v>
      </c>
      <c r="M394" s="712">
        <v>2381</v>
      </c>
      <c r="N394" s="712">
        <v>2381</v>
      </c>
      <c r="O394" s="712">
        <v>2381</v>
      </c>
      <c r="P394" s="712">
        <v>2406.2988789415072</v>
      </c>
    </row>
    <row r="395" spans="1:16" hidden="1">
      <c r="A395" s="709" t="s">
        <v>400</v>
      </c>
      <c r="B395" s="709" t="s">
        <v>673</v>
      </c>
      <c r="C395" s="709" t="s">
        <v>1238</v>
      </c>
      <c r="D395" s="709" t="s">
        <v>1239</v>
      </c>
      <c r="E395" s="709" t="s">
        <v>1240</v>
      </c>
      <c r="F395" s="709" t="s">
        <v>1241</v>
      </c>
      <c r="G395" s="709" t="s">
        <v>1070</v>
      </c>
      <c r="H395" s="709">
        <v>5009</v>
      </c>
      <c r="I395" s="709" t="s">
        <v>991</v>
      </c>
      <c r="J395" s="709">
        <v>63300060</v>
      </c>
      <c r="K395" s="709" t="s">
        <v>1113</v>
      </c>
      <c r="L395" s="712">
        <v>198137.89656182443</v>
      </c>
      <c r="M395" s="712">
        <v>209373</v>
      </c>
      <c r="N395" s="712">
        <v>226373</v>
      </c>
      <c r="O395" s="712">
        <v>243373</v>
      </c>
      <c r="P395" s="712">
        <v>245958.91518884141</v>
      </c>
    </row>
    <row r="396" spans="1:16" hidden="1">
      <c r="A396" s="709" t="s">
        <v>400</v>
      </c>
      <c r="B396" s="709" t="s">
        <v>673</v>
      </c>
      <c r="C396" s="709" t="s">
        <v>1242</v>
      </c>
      <c r="D396" s="709" t="s">
        <v>1243</v>
      </c>
      <c r="E396" s="709" t="s">
        <v>1244</v>
      </c>
      <c r="F396" s="709" t="s">
        <v>1245</v>
      </c>
      <c r="G396" s="709" t="s">
        <v>1070</v>
      </c>
      <c r="H396" s="709">
        <v>5009</v>
      </c>
      <c r="I396" s="709" t="s">
        <v>991</v>
      </c>
      <c r="J396" s="709">
        <v>63300060</v>
      </c>
      <c r="K396" s="709" t="s">
        <v>1113</v>
      </c>
      <c r="L396" s="712">
        <v>147628.92953553997</v>
      </c>
      <c r="M396" s="712">
        <v>156000</v>
      </c>
      <c r="N396" s="712">
        <v>172000</v>
      </c>
      <c r="O396" s="712">
        <v>190000</v>
      </c>
      <c r="P396" s="712">
        <v>192018.81016332898</v>
      </c>
    </row>
    <row r="397" spans="1:16" hidden="1">
      <c r="A397" s="709" t="s">
        <v>400</v>
      </c>
      <c r="B397" s="709" t="s">
        <v>673</v>
      </c>
      <c r="C397" s="709" t="s">
        <v>1246</v>
      </c>
      <c r="D397" s="709" t="s">
        <v>1247</v>
      </c>
      <c r="E397" s="709" t="s">
        <v>1248</v>
      </c>
      <c r="F397" s="709" t="s">
        <v>1249</v>
      </c>
      <c r="G397" s="709" t="s">
        <v>1070</v>
      </c>
      <c r="H397" s="709">
        <v>5009</v>
      </c>
      <c r="I397" s="709" t="s">
        <v>991</v>
      </c>
      <c r="J397" s="709">
        <v>63300060</v>
      </c>
      <c r="K397" s="709" t="s">
        <v>1113</v>
      </c>
      <c r="L397" s="712">
        <v>29637.453943551543</v>
      </c>
      <c r="M397" s="712">
        <v>31318</v>
      </c>
      <c r="N397" s="712">
        <v>31318</v>
      </c>
      <c r="O397" s="712">
        <v>31318</v>
      </c>
      <c r="P397" s="712">
        <v>31650.763666816511</v>
      </c>
    </row>
    <row r="398" spans="1:16" hidden="1">
      <c r="A398" s="709" t="s">
        <v>400</v>
      </c>
      <c r="B398" s="709" t="s">
        <v>673</v>
      </c>
      <c r="C398" s="709" t="s">
        <v>1250</v>
      </c>
      <c r="D398" s="709" t="s">
        <v>1251</v>
      </c>
      <c r="E398" s="709" t="s">
        <v>1252</v>
      </c>
      <c r="F398" s="709" t="s">
        <v>1253</v>
      </c>
      <c r="G398" s="709" t="s">
        <v>1070</v>
      </c>
      <c r="H398" s="709">
        <v>5009</v>
      </c>
      <c r="I398" s="709" t="s">
        <v>991</v>
      </c>
      <c r="J398" s="709">
        <v>63300060</v>
      </c>
      <c r="K398" s="709" t="s">
        <v>1113</v>
      </c>
      <c r="L398" s="712">
        <v>2562.686802450271</v>
      </c>
      <c r="M398" s="712">
        <v>2708.0000000000005</v>
      </c>
      <c r="N398" s="712">
        <v>2708.0000000000005</v>
      </c>
      <c r="O398" s="712">
        <v>2708.0000000000005</v>
      </c>
      <c r="P398" s="712">
        <v>2736.773357485763</v>
      </c>
    </row>
    <row r="399" spans="1:16" hidden="1">
      <c r="A399" s="709" t="s">
        <v>541</v>
      </c>
      <c r="B399" s="709" t="s">
        <v>673</v>
      </c>
      <c r="C399" s="709" t="s">
        <v>1040</v>
      </c>
      <c r="D399" s="709" t="s">
        <v>1041</v>
      </c>
      <c r="E399" s="709" t="s">
        <v>1042</v>
      </c>
      <c r="F399" s="709" t="s">
        <v>1043</v>
      </c>
      <c r="G399" s="709" t="s">
        <v>1070</v>
      </c>
      <c r="H399" s="709">
        <v>5009</v>
      </c>
      <c r="I399" s="709" t="s">
        <v>991</v>
      </c>
      <c r="J399" s="709">
        <v>63300060</v>
      </c>
      <c r="K399" s="709" t="s">
        <v>1113</v>
      </c>
      <c r="L399" s="712">
        <v>67729.029951242483</v>
      </c>
      <c r="M399" s="712">
        <v>71569.5</v>
      </c>
      <c r="N399" s="712">
        <v>31569.5</v>
      </c>
      <c r="O399" s="712">
        <v>31569.5</v>
      </c>
      <c r="P399" s="712">
        <v>31904.935933953759</v>
      </c>
    </row>
    <row r="400" spans="1:16" hidden="1">
      <c r="A400" s="709" t="s">
        <v>541</v>
      </c>
      <c r="B400" s="709" t="s">
        <v>673</v>
      </c>
      <c r="C400" s="709" t="s">
        <v>1254</v>
      </c>
      <c r="D400" s="709" t="s">
        <v>1255</v>
      </c>
      <c r="E400" s="709" t="s">
        <v>1256</v>
      </c>
      <c r="F400" s="709" t="s">
        <v>1257</v>
      </c>
      <c r="G400" s="709" t="s">
        <v>1070</v>
      </c>
      <c r="H400" s="709">
        <v>5009</v>
      </c>
      <c r="I400" s="709" t="s">
        <v>991</v>
      </c>
      <c r="J400" s="709">
        <v>63300060</v>
      </c>
      <c r="K400" s="709" t="s">
        <v>1113</v>
      </c>
      <c r="L400" s="712">
        <v>13740.84651830795</v>
      </c>
      <c r="M400" s="712">
        <v>14520</v>
      </c>
      <c r="N400" s="712">
        <v>14520</v>
      </c>
      <c r="O400" s="712">
        <v>14520</v>
      </c>
      <c r="P400" s="712">
        <v>14674.279597744931</v>
      </c>
    </row>
    <row r="401" spans="1:16" hidden="1">
      <c r="A401" s="709" t="s">
        <v>541</v>
      </c>
      <c r="B401" s="709" t="s">
        <v>673</v>
      </c>
      <c r="C401" s="709" t="s">
        <v>1048</v>
      </c>
      <c r="D401" s="709" t="s">
        <v>1049</v>
      </c>
      <c r="E401" s="709" t="s">
        <v>1050</v>
      </c>
      <c r="F401" s="709" t="s">
        <v>1051</v>
      </c>
      <c r="G401" s="709" t="s">
        <v>1070</v>
      </c>
      <c r="H401" s="709">
        <v>5009</v>
      </c>
      <c r="I401" s="709" t="s">
        <v>991</v>
      </c>
      <c r="J401" s="709">
        <v>63300060</v>
      </c>
      <c r="K401" s="709" t="s">
        <v>1113</v>
      </c>
      <c r="L401" s="712">
        <v>61413.634686784622</v>
      </c>
      <c r="M401" s="712">
        <v>64896</v>
      </c>
      <c r="N401" s="712">
        <v>64896</v>
      </c>
      <c r="O401" s="712">
        <v>64896</v>
      </c>
      <c r="P401" s="712">
        <v>65585.540549259997</v>
      </c>
    </row>
    <row r="402" spans="1:16" hidden="1">
      <c r="A402" s="709" t="s">
        <v>541</v>
      </c>
      <c r="B402" s="709" t="s">
        <v>673</v>
      </c>
      <c r="C402" s="709" t="s">
        <v>1258</v>
      </c>
      <c r="D402" s="709" t="s">
        <v>1259</v>
      </c>
      <c r="E402" s="709" t="s">
        <v>1260</v>
      </c>
      <c r="F402" s="709" t="s">
        <v>1261</v>
      </c>
      <c r="G402" s="709" t="s">
        <v>1070</v>
      </c>
      <c r="H402" s="709">
        <v>5009</v>
      </c>
      <c r="I402" s="709" t="s">
        <v>991</v>
      </c>
      <c r="J402" s="709">
        <v>63300060</v>
      </c>
      <c r="K402" s="709" t="s">
        <v>1113</v>
      </c>
      <c r="L402" s="712">
        <v>5725.352715961646</v>
      </c>
      <c r="M402" s="712">
        <v>6050</v>
      </c>
      <c r="N402" s="712">
        <v>6050</v>
      </c>
      <c r="O402" s="712">
        <v>6050</v>
      </c>
      <c r="P402" s="712">
        <v>6114.2831657270544</v>
      </c>
    </row>
    <row r="403" spans="1:16" hidden="1">
      <c r="A403" s="709" t="s">
        <v>541</v>
      </c>
      <c r="B403" s="709" t="s">
        <v>673</v>
      </c>
      <c r="C403" s="709" t="s">
        <v>1052</v>
      </c>
      <c r="D403" s="709" t="s">
        <v>1053</v>
      </c>
      <c r="E403" s="709" t="s">
        <v>1054</v>
      </c>
      <c r="F403" s="709" t="s">
        <v>1055</v>
      </c>
      <c r="G403" s="709" t="s">
        <v>1070</v>
      </c>
      <c r="H403" s="709">
        <v>5009</v>
      </c>
      <c r="I403" s="709" t="s">
        <v>991</v>
      </c>
      <c r="J403" s="709">
        <v>63300060</v>
      </c>
      <c r="K403" s="709" t="s">
        <v>1113</v>
      </c>
      <c r="L403" s="712">
        <v>17526.203685885899</v>
      </c>
      <c r="M403" s="712">
        <v>18520</v>
      </c>
      <c r="N403" s="712">
        <v>18520</v>
      </c>
      <c r="O403" s="712">
        <v>18520</v>
      </c>
      <c r="P403" s="712">
        <v>18716.78086434133</v>
      </c>
    </row>
    <row r="404" spans="1:16" hidden="1">
      <c r="A404" s="709" t="s">
        <v>541</v>
      </c>
      <c r="B404" s="709" t="s">
        <v>673</v>
      </c>
      <c r="C404" s="709" t="s">
        <v>1262</v>
      </c>
      <c r="D404" s="709" t="s">
        <v>1263</v>
      </c>
      <c r="E404" s="709" t="s">
        <v>1264</v>
      </c>
      <c r="F404" s="709" t="s">
        <v>1265</v>
      </c>
      <c r="G404" s="709" t="s">
        <v>1070</v>
      </c>
      <c r="H404" s="709">
        <v>5009</v>
      </c>
      <c r="I404" s="709" t="s">
        <v>991</v>
      </c>
      <c r="J404" s="709">
        <v>63300060</v>
      </c>
      <c r="K404" s="709" t="s">
        <v>1113</v>
      </c>
      <c r="L404" s="712">
        <v>2290.1410863846586</v>
      </c>
      <c r="M404" s="712">
        <v>2420</v>
      </c>
      <c r="N404" s="712">
        <v>7420</v>
      </c>
      <c r="O404" s="712">
        <v>17420</v>
      </c>
      <c r="P404" s="712">
        <v>17605.09301602732</v>
      </c>
    </row>
    <row r="405" spans="1:16" hidden="1">
      <c r="A405" s="709" t="s">
        <v>541</v>
      </c>
      <c r="B405" s="709" t="s">
        <v>673</v>
      </c>
      <c r="C405" s="709" t="s">
        <v>1056</v>
      </c>
      <c r="D405" s="709" t="s">
        <v>1057</v>
      </c>
      <c r="E405" s="709" t="s">
        <v>1058</v>
      </c>
      <c r="F405" s="709" t="s">
        <v>1059</v>
      </c>
      <c r="G405" s="709" t="s">
        <v>1070</v>
      </c>
      <c r="H405" s="709">
        <v>5009</v>
      </c>
      <c r="I405" s="709" t="s">
        <v>991</v>
      </c>
      <c r="J405" s="709">
        <v>63300060</v>
      </c>
      <c r="K405" s="709" t="s">
        <v>1113</v>
      </c>
      <c r="L405" s="712">
        <v>27481.693036615899</v>
      </c>
      <c r="M405" s="712">
        <v>29040</v>
      </c>
      <c r="N405" s="712">
        <v>29040</v>
      </c>
      <c r="O405" s="712">
        <v>29040</v>
      </c>
      <c r="P405" s="712">
        <v>29348.559195489863</v>
      </c>
    </row>
    <row r="406" spans="1:16" hidden="1">
      <c r="A406" s="709" t="s">
        <v>541</v>
      </c>
      <c r="B406" s="709" t="s">
        <v>673</v>
      </c>
      <c r="C406" s="709" t="s">
        <v>1266</v>
      </c>
      <c r="D406" s="709" t="s">
        <v>1267</v>
      </c>
      <c r="E406" s="709" t="s">
        <v>1268</v>
      </c>
      <c r="F406" s="709" t="s">
        <v>1269</v>
      </c>
      <c r="G406" s="709" t="s">
        <v>1070</v>
      </c>
      <c r="H406" s="709">
        <v>5009</v>
      </c>
      <c r="I406" s="709" t="s">
        <v>991</v>
      </c>
      <c r="J406" s="709">
        <v>63300060</v>
      </c>
      <c r="K406" s="709" t="s">
        <v>1113</v>
      </c>
      <c r="L406" s="712">
        <v>5110.2321762302299</v>
      </c>
      <c r="M406" s="712">
        <v>5400</v>
      </c>
      <c r="N406" s="712">
        <v>5400</v>
      </c>
      <c r="O406" s="712">
        <v>5400</v>
      </c>
      <c r="P406" s="712">
        <v>5457.3767099051393</v>
      </c>
    </row>
    <row r="407" spans="1:16" hidden="1">
      <c r="A407" s="709" t="s">
        <v>397</v>
      </c>
      <c r="B407" s="709" t="s">
        <v>1064</v>
      </c>
      <c r="C407" s="709" t="s">
        <v>1065</v>
      </c>
      <c r="D407" s="709" t="s">
        <v>1066</v>
      </c>
      <c r="E407" s="709" t="s">
        <v>1067</v>
      </c>
      <c r="F407" s="709" t="s">
        <v>1068</v>
      </c>
      <c r="G407" s="709" t="s">
        <v>1070</v>
      </c>
      <c r="H407" s="709">
        <v>5008</v>
      </c>
      <c r="I407" s="709" t="s">
        <v>1069</v>
      </c>
      <c r="J407" s="709">
        <v>63300060</v>
      </c>
      <c r="K407" s="709" t="s">
        <v>1113</v>
      </c>
      <c r="L407" s="712">
        <v>2015.6011651753465</v>
      </c>
      <c r="M407" s="712">
        <v>2129.892716533298</v>
      </c>
      <c r="N407" s="712">
        <v>2129.892716533298</v>
      </c>
      <c r="O407" s="712">
        <v>2129.892716533298</v>
      </c>
      <c r="P407" s="712">
        <v>2152.5235010750757</v>
      </c>
    </row>
    <row r="408" spans="1:16" hidden="1">
      <c r="A408" s="709" t="s">
        <v>133</v>
      </c>
      <c r="B408" s="709" t="s">
        <v>662</v>
      </c>
      <c r="C408" s="709" t="s">
        <v>760</v>
      </c>
      <c r="D408" s="709" t="s">
        <v>761</v>
      </c>
      <c r="E408" s="709" t="s">
        <v>762</v>
      </c>
      <c r="F408" s="709" t="s">
        <v>763</v>
      </c>
      <c r="G408" s="709" t="s">
        <v>1070</v>
      </c>
      <c r="H408" s="709">
        <v>5327</v>
      </c>
      <c r="I408" s="709" t="s">
        <v>754</v>
      </c>
      <c r="J408" s="709">
        <v>63300065</v>
      </c>
      <c r="K408" s="709" t="s">
        <v>1270</v>
      </c>
      <c r="L408" s="712">
        <v>4207.4611354397803</v>
      </c>
      <c r="M408" s="712">
        <v>4446.0387215000001</v>
      </c>
      <c r="N408" s="712">
        <v>4512.7293020999996</v>
      </c>
      <c r="O408" s="712">
        <v>4580.4202409</v>
      </c>
      <c r="P408" s="712">
        <v>4629.0886563455088</v>
      </c>
    </row>
    <row r="409" spans="1:16" hidden="1">
      <c r="A409" s="709" t="s">
        <v>126</v>
      </c>
      <c r="B409" s="709" t="s">
        <v>663</v>
      </c>
      <c r="C409" s="709" t="s">
        <v>764</v>
      </c>
      <c r="D409" s="709" t="s">
        <v>765</v>
      </c>
      <c r="E409" s="709" t="s">
        <v>766</v>
      </c>
      <c r="F409" s="709" t="s">
        <v>767</v>
      </c>
      <c r="G409" s="709" t="s">
        <v>1070</v>
      </c>
      <c r="H409" s="709">
        <v>5325</v>
      </c>
      <c r="I409" s="709" t="s">
        <v>768</v>
      </c>
      <c r="J409" s="709">
        <v>63300065</v>
      </c>
      <c r="K409" s="709" t="s">
        <v>1270</v>
      </c>
      <c r="L409" s="712">
        <v>3837.3746325573875</v>
      </c>
      <c r="M409" s="712">
        <v>4054.9670350000001</v>
      </c>
      <c r="N409" s="712">
        <v>4156.3412109000001</v>
      </c>
      <c r="O409" s="712">
        <v>4260.2497412000002</v>
      </c>
      <c r="P409" s="712">
        <v>4305.5162437044964</v>
      </c>
    </row>
    <row r="410" spans="1:16" hidden="1">
      <c r="A410" s="709" t="s">
        <v>126</v>
      </c>
      <c r="B410" s="709" t="s">
        <v>663</v>
      </c>
      <c r="C410" s="709" t="s">
        <v>769</v>
      </c>
      <c r="D410" s="709" t="s">
        <v>770</v>
      </c>
      <c r="E410" s="709" t="s">
        <v>771</v>
      </c>
      <c r="F410" s="709" t="s">
        <v>772</v>
      </c>
      <c r="G410" s="709" t="s">
        <v>1070</v>
      </c>
      <c r="H410" s="709">
        <v>5325</v>
      </c>
      <c r="I410" s="709" t="s">
        <v>768</v>
      </c>
      <c r="J410" s="709">
        <v>63300065</v>
      </c>
      <c r="K410" s="709" t="s">
        <v>1270</v>
      </c>
      <c r="L410" s="712">
        <v>2412.0559026051619</v>
      </c>
      <c r="M410" s="712">
        <v>2548.8278076000001</v>
      </c>
      <c r="N410" s="712">
        <v>2612.5485024</v>
      </c>
      <c r="O410" s="712">
        <v>2677.8622151999998</v>
      </c>
      <c r="P410" s="712">
        <v>2706.31534917916</v>
      </c>
    </row>
    <row r="411" spans="1:16" hidden="1">
      <c r="A411" s="709" t="s">
        <v>127</v>
      </c>
      <c r="B411" s="709" t="s">
        <v>663</v>
      </c>
      <c r="C411" s="709" t="s">
        <v>773</v>
      </c>
      <c r="D411" s="709" t="s">
        <v>774</v>
      </c>
      <c r="E411" s="709" t="s">
        <v>775</v>
      </c>
      <c r="F411" s="709" t="s">
        <v>776</v>
      </c>
      <c r="G411" s="709" t="s">
        <v>1070</v>
      </c>
      <c r="H411" s="709">
        <v>5325</v>
      </c>
      <c r="I411" s="709" t="s">
        <v>768</v>
      </c>
      <c r="J411" s="709">
        <v>63300065</v>
      </c>
      <c r="K411" s="709" t="s">
        <v>1270</v>
      </c>
      <c r="L411" s="712">
        <v>0</v>
      </c>
      <c r="M411" s="712">
        <v>0</v>
      </c>
      <c r="N411" s="712">
        <v>0</v>
      </c>
      <c r="O411" s="712">
        <v>4260.2500000000009</v>
      </c>
      <c r="P411" s="712">
        <v>4305.5165052543289</v>
      </c>
    </row>
    <row r="412" spans="1:16" hidden="1">
      <c r="A412" s="709" t="s">
        <v>127</v>
      </c>
      <c r="B412" s="709" t="s">
        <v>663</v>
      </c>
      <c r="C412" s="709" t="s">
        <v>777</v>
      </c>
      <c r="D412" s="709" t="s">
        <v>778</v>
      </c>
      <c r="E412" s="709" t="s">
        <v>779</v>
      </c>
      <c r="F412" s="709" t="s">
        <v>780</v>
      </c>
      <c r="G412" s="709" t="s">
        <v>1070</v>
      </c>
      <c r="H412" s="709">
        <v>5325</v>
      </c>
      <c r="I412" s="709" t="s">
        <v>768</v>
      </c>
      <c r="J412" s="709">
        <v>63300065</v>
      </c>
      <c r="K412" s="709" t="s">
        <v>1270</v>
      </c>
      <c r="L412" s="712">
        <v>3727.6683243440598</v>
      </c>
      <c r="M412" s="712">
        <v>3939.04</v>
      </c>
      <c r="N412" s="712">
        <v>4037.44</v>
      </c>
      <c r="O412" s="712">
        <v>4138.38</v>
      </c>
      <c r="P412" s="712">
        <v>4182.3515979143021</v>
      </c>
    </row>
    <row r="413" spans="1:16" hidden="1">
      <c r="A413" s="709" t="s">
        <v>398</v>
      </c>
      <c r="B413" s="709" t="s">
        <v>667</v>
      </c>
      <c r="C413" s="709" t="s">
        <v>836</v>
      </c>
      <c r="D413" s="709" t="s">
        <v>837</v>
      </c>
      <c r="E413" s="709" t="s">
        <v>838</v>
      </c>
      <c r="F413" s="709" t="s">
        <v>839</v>
      </c>
      <c r="G413" s="709" t="s">
        <v>1070</v>
      </c>
      <c r="H413" s="709">
        <v>5025</v>
      </c>
      <c r="I413" s="709" t="s">
        <v>840</v>
      </c>
      <c r="J413" s="709">
        <v>63300065</v>
      </c>
      <c r="K413" s="709" t="s">
        <v>1270</v>
      </c>
      <c r="L413" s="712">
        <v>8373.3520055762037</v>
      </c>
      <c r="M413" s="712">
        <v>8848.15</v>
      </c>
      <c r="N413" s="712">
        <v>8848.15</v>
      </c>
      <c r="O413" s="712">
        <v>8848.15</v>
      </c>
      <c r="P413" s="712">
        <v>8942.1643955087329</v>
      </c>
    </row>
    <row r="414" spans="1:16" hidden="1">
      <c r="A414" s="709" t="s">
        <v>398</v>
      </c>
      <c r="B414" s="709" t="s">
        <v>667</v>
      </c>
      <c r="C414" s="709" t="s">
        <v>841</v>
      </c>
      <c r="D414" s="709" t="s">
        <v>842</v>
      </c>
      <c r="E414" s="709" t="s">
        <v>843</v>
      </c>
      <c r="F414" s="709" t="s">
        <v>844</v>
      </c>
      <c r="G414" s="709" t="s">
        <v>1070</v>
      </c>
      <c r="H414" s="709">
        <v>5025</v>
      </c>
      <c r="I414" s="709" t="s">
        <v>840</v>
      </c>
      <c r="J414" s="709">
        <v>63300065</v>
      </c>
      <c r="K414" s="709" t="s">
        <v>1270</v>
      </c>
      <c r="L414" s="712">
        <v>50580.75632496758</v>
      </c>
      <c r="M414" s="712">
        <v>53448.860000000015</v>
      </c>
      <c r="N414" s="712">
        <v>53448.860000000015</v>
      </c>
      <c r="O414" s="712">
        <v>53448.860000000015</v>
      </c>
      <c r="P414" s="712">
        <v>54016.771062033426</v>
      </c>
    </row>
    <row r="415" spans="1:16" hidden="1">
      <c r="A415" s="709" t="s">
        <v>398</v>
      </c>
      <c r="B415" s="709" t="s">
        <v>667</v>
      </c>
      <c r="C415" s="709" t="s">
        <v>849</v>
      </c>
      <c r="D415" s="709" t="s">
        <v>850</v>
      </c>
      <c r="E415" s="709" t="s">
        <v>851</v>
      </c>
      <c r="F415" s="709" t="s">
        <v>852</v>
      </c>
      <c r="G415" s="709" t="s">
        <v>1070</v>
      </c>
      <c r="H415" s="709">
        <v>5025</v>
      </c>
      <c r="I415" s="709" t="s">
        <v>840</v>
      </c>
      <c r="J415" s="709">
        <v>63300065</v>
      </c>
      <c r="K415" s="709" t="s">
        <v>1270</v>
      </c>
      <c r="L415" s="712">
        <v>64029.31648958099</v>
      </c>
      <c r="M415" s="712">
        <v>67660</v>
      </c>
      <c r="N415" s="712">
        <v>67660</v>
      </c>
      <c r="O415" s="712">
        <v>67660</v>
      </c>
      <c r="P415" s="712">
        <v>68378.908924478106</v>
      </c>
    </row>
    <row r="416" spans="1:16" hidden="1">
      <c r="A416" s="709" t="s">
        <v>398</v>
      </c>
      <c r="B416" s="709" t="s">
        <v>667</v>
      </c>
      <c r="C416" s="709" t="s">
        <v>853</v>
      </c>
      <c r="D416" s="709" t="s">
        <v>854</v>
      </c>
      <c r="E416" s="709" t="s">
        <v>855</v>
      </c>
      <c r="F416" s="709" t="s">
        <v>856</v>
      </c>
      <c r="G416" s="709" t="s">
        <v>1070</v>
      </c>
      <c r="H416" s="709">
        <v>5025</v>
      </c>
      <c r="I416" s="709" t="s">
        <v>840</v>
      </c>
      <c r="J416" s="709">
        <v>63300065</v>
      </c>
      <c r="K416" s="709" t="s">
        <v>1270</v>
      </c>
      <c r="L416" s="712">
        <v>69538.903846990666</v>
      </c>
      <c r="M416" s="712">
        <v>73481.999999999971</v>
      </c>
      <c r="N416" s="712">
        <v>73481.999999999971</v>
      </c>
      <c r="O416" s="712">
        <v>73481.999999999971</v>
      </c>
      <c r="P416" s="712">
        <v>74262.769518009125</v>
      </c>
    </row>
    <row r="417" spans="1:16" hidden="1">
      <c r="A417" s="709" t="s">
        <v>398</v>
      </c>
      <c r="B417" s="709" t="s">
        <v>667</v>
      </c>
      <c r="C417" s="709" t="s">
        <v>857</v>
      </c>
      <c r="D417" s="709" t="s">
        <v>858</v>
      </c>
      <c r="E417" s="709" t="s">
        <v>859</v>
      </c>
      <c r="F417" s="709" t="s">
        <v>860</v>
      </c>
      <c r="G417" s="709" t="s">
        <v>1070</v>
      </c>
      <c r="H417" s="709">
        <v>5025</v>
      </c>
      <c r="I417" s="709" t="s">
        <v>840</v>
      </c>
      <c r="J417" s="709">
        <v>63300065</v>
      </c>
      <c r="K417" s="709" t="s">
        <v>1270</v>
      </c>
      <c r="L417" s="712">
        <v>8396.8685369797877</v>
      </c>
      <c r="M417" s="712">
        <v>8873.0000000000055</v>
      </c>
      <c r="N417" s="712">
        <v>8873.0000000000055</v>
      </c>
      <c r="O417" s="712">
        <v>8873.0000000000055</v>
      </c>
      <c r="P417" s="712">
        <v>8967.2784346274693</v>
      </c>
    </row>
    <row r="418" spans="1:16" hidden="1">
      <c r="A418" s="709" t="s">
        <v>398</v>
      </c>
      <c r="B418" s="709" t="s">
        <v>667</v>
      </c>
      <c r="C418" s="709" t="s">
        <v>865</v>
      </c>
      <c r="D418" s="709" t="s">
        <v>866</v>
      </c>
      <c r="E418" s="709" t="s">
        <v>867</v>
      </c>
      <c r="F418" s="709" t="s">
        <v>868</v>
      </c>
      <c r="G418" s="709" t="s">
        <v>1070</v>
      </c>
      <c r="H418" s="709">
        <v>5025</v>
      </c>
      <c r="I418" s="709" t="s">
        <v>840</v>
      </c>
      <c r="J418" s="709">
        <v>63300065</v>
      </c>
      <c r="K418" s="709" t="s">
        <v>1270</v>
      </c>
      <c r="L418" s="712">
        <v>5872.0353062052909</v>
      </c>
      <c r="M418" s="712">
        <v>6204.9999999999991</v>
      </c>
      <c r="N418" s="712">
        <v>6204.9999999999991</v>
      </c>
      <c r="O418" s="712">
        <v>6204.9999999999991</v>
      </c>
      <c r="P418" s="712">
        <v>6270.9300898076644</v>
      </c>
    </row>
    <row r="419" spans="1:16" hidden="1">
      <c r="A419" s="709" t="s">
        <v>398</v>
      </c>
      <c r="B419" s="709" t="s">
        <v>667</v>
      </c>
      <c r="C419" s="709" t="s">
        <v>869</v>
      </c>
      <c r="D419" s="709" t="s">
        <v>870</v>
      </c>
      <c r="E419" s="709" t="s">
        <v>871</v>
      </c>
      <c r="F419" s="709" t="s">
        <v>872</v>
      </c>
      <c r="G419" s="709" t="s">
        <v>1070</v>
      </c>
      <c r="H419" s="709">
        <v>5025</v>
      </c>
      <c r="I419" s="709" t="s">
        <v>840</v>
      </c>
      <c r="J419" s="709">
        <v>63300065</v>
      </c>
      <c r="K419" s="709" t="s">
        <v>1270</v>
      </c>
      <c r="L419" s="712">
        <v>6315.8684341038061</v>
      </c>
      <c r="M419" s="712">
        <v>6674</v>
      </c>
      <c r="N419" s="712">
        <v>6674</v>
      </c>
      <c r="O419" s="712">
        <v>6674</v>
      </c>
      <c r="P419" s="712">
        <v>6744.9133633160927</v>
      </c>
    </row>
    <row r="420" spans="1:16" hidden="1">
      <c r="A420" s="709" t="s">
        <v>399</v>
      </c>
      <c r="B420" s="709" t="s">
        <v>668</v>
      </c>
      <c r="C420" s="709" t="s">
        <v>879</v>
      </c>
      <c r="D420" s="709" t="s">
        <v>880</v>
      </c>
      <c r="E420" s="709" t="s">
        <v>881</v>
      </c>
      <c r="F420" s="709" t="s">
        <v>882</v>
      </c>
      <c r="G420" s="709" t="s">
        <v>1070</v>
      </c>
      <c r="H420" s="709">
        <v>5021</v>
      </c>
      <c r="I420" s="709" t="s">
        <v>883</v>
      </c>
      <c r="J420" s="709">
        <v>63300065</v>
      </c>
      <c r="K420" s="709" t="s">
        <v>1270</v>
      </c>
      <c r="L420" s="712">
        <v>21818.874421062646</v>
      </c>
      <c r="M420" s="712">
        <v>23056.080000000005</v>
      </c>
      <c r="N420" s="712">
        <v>23517.201600000004</v>
      </c>
      <c r="O420" s="712">
        <v>23987.545632000005</v>
      </c>
      <c r="P420" s="712">
        <v>24242.420899974739</v>
      </c>
    </row>
    <row r="421" spans="1:16" hidden="1">
      <c r="A421" s="709" t="s">
        <v>399</v>
      </c>
      <c r="B421" s="709" t="s">
        <v>668</v>
      </c>
      <c r="C421" s="709" t="s">
        <v>1097</v>
      </c>
      <c r="D421" s="709" t="s">
        <v>1098</v>
      </c>
      <c r="E421" s="709" t="s">
        <v>1099</v>
      </c>
      <c r="F421" s="709" t="s">
        <v>1100</v>
      </c>
      <c r="G421" s="709" t="s">
        <v>1070</v>
      </c>
      <c r="H421" s="709">
        <v>5021</v>
      </c>
      <c r="I421" s="709" t="s">
        <v>883</v>
      </c>
      <c r="J421" s="709">
        <v>63300065</v>
      </c>
      <c r="K421" s="709" t="s">
        <v>1270</v>
      </c>
      <c r="L421" s="712">
        <v>3312.1875216307039</v>
      </c>
      <c r="M421" s="712">
        <v>3499.9999999999995</v>
      </c>
      <c r="N421" s="712">
        <v>3499.9999999999995</v>
      </c>
      <c r="O421" s="712">
        <v>3499.9999999999995</v>
      </c>
      <c r="P421" s="712">
        <v>3537.1886082718493</v>
      </c>
    </row>
    <row r="422" spans="1:16" hidden="1">
      <c r="A422" s="709" t="s">
        <v>399</v>
      </c>
      <c r="B422" s="709" t="s">
        <v>668</v>
      </c>
      <c r="C422" s="709" t="s">
        <v>884</v>
      </c>
      <c r="D422" s="709" t="s">
        <v>885</v>
      </c>
      <c r="E422" s="709" t="s">
        <v>886</v>
      </c>
      <c r="F422" s="709" t="s">
        <v>887</v>
      </c>
      <c r="G422" s="709" t="s">
        <v>1070</v>
      </c>
      <c r="H422" s="709">
        <v>5021</v>
      </c>
      <c r="I422" s="709" t="s">
        <v>883</v>
      </c>
      <c r="J422" s="709">
        <v>63300065</v>
      </c>
      <c r="K422" s="709" t="s">
        <v>1270</v>
      </c>
      <c r="L422" s="712">
        <v>237092.0608340771</v>
      </c>
      <c r="M422" s="712">
        <v>250535.99999999991</v>
      </c>
      <c r="N422" s="712">
        <v>250535.99999999991</v>
      </c>
      <c r="O422" s="712">
        <v>250535.99999999991</v>
      </c>
      <c r="P422" s="712">
        <v>253198.02433199881</v>
      </c>
    </row>
    <row r="423" spans="1:16" hidden="1">
      <c r="A423" s="709" t="s">
        <v>399</v>
      </c>
      <c r="B423" s="709" t="s">
        <v>668</v>
      </c>
      <c r="C423" s="709" t="s">
        <v>1162</v>
      </c>
      <c r="D423" s="709" t="s">
        <v>1163</v>
      </c>
      <c r="E423" s="709" t="s">
        <v>1164</v>
      </c>
      <c r="F423" s="709" t="s">
        <v>1165</v>
      </c>
      <c r="G423" s="709" t="s">
        <v>1070</v>
      </c>
      <c r="H423" s="709">
        <v>5021</v>
      </c>
      <c r="I423" s="709" t="s">
        <v>883</v>
      </c>
      <c r="J423" s="709">
        <v>63300065</v>
      </c>
      <c r="K423" s="709" t="s">
        <v>1270</v>
      </c>
      <c r="L423" s="712">
        <v>5139.5686942789589</v>
      </c>
      <c r="M423" s="712">
        <v>5431</v>
      </c>
      <c r="N423" s="712">
        <v>5431</v>
      </c>
      <c r="O423" s="712">
        <v>5431</v>
      </c>
      <c r="P423" s="712">
        <v>5488.7060947212622</v>
      </c>
    </row>
    <row r="424" spans="1:16" hidden="1">
      <c r="A424" s="709" t="s">
        <v>399</v>
      </c>
      <c r="B424" s="709" t="s">
        <v>668</v>
      </c>
      <c r="C424" s="709" t="s">
        <v>896</v>
      </c>
      <c r="D424" s="709" t="s">
        <v>897</v>
      </c>
      <c r="E424" s="709" t="s">
        <v>898</v>
      </c>
      <c r="F424" s="709" t="s">
        <v>899</v>
      </c>
      <c r="G424" s="709" t="s">
        <v>1070</v>
      </c>
      <c r="H424" s="709">
        <v>5021</v>
      </c>
      <c r="I424" s="709" t="s">
        <v>883</v>
      </c>
      <c r="J424" s="709">
        <v>63300065</v>
      </c>
      <c r="K424" s="709" t="s">
        <v>1270</v>
      </c>
      <c r="L424" s="712">
        <v>9084.857202187075</v>
      </c>
      <c r="M424" s="712">
        <v>9600</v>
      </c>
      <c r="N424" s="712">
        <v>9600</v>
      </c>
      <c r="O424" s="712">
        <v>9600</v>
      </c>
      <c r="P424" s="712">
        <v>9702.0030398313593</v>
      </c>
    </row>
    <row r="425" spans="1:16" hidden="1">
      <c r="A425" s="709" t="s">
        <v>287</v>
      </c>
      <c r="B425" s="709" t="s">
        <v>670</v>
      </c>
      <c r="C425" s="709" t="s">
        <v>917</v>
      </c>
      <c r="D425" s="709" t="s">
        <v>918</v>
      </c>
      <c r="E425" s="709" t="s">
        <v>919</v>
      </c>
      <c r="F425" s="709" t="s">
        <v>920</v>
      </c>
      <c r="G425" s="709" t="s">
        <v>1070</v>
      </c>
      <c r="H425" s="709">
        <v>5019</v>
      </c>
      <c r="I425" s="709" t="s">
        <v>921</v>
      </c>
      <c r="J425" s="709">
        <v>63300065</v>
      </c>
      <c r="K425" s="709" t="s">
        <v>1270</v>
      </c>
      <c r="L425" s="712">
        <v>14195.089378417308</v>
      </c>
      <c r="M425" s="712">
        <v>15000.000000000004</v>
      </c>
      <c r="N425" s="712">
        <v>140000.00000000003</v>
      </c>
      <c r="O425" s="712">
        <v>15000.000000000004</v>
      </c>
      <c r="P425" s="712">
        <v>15159.379749736503</v>
      </c>
    </row>
    <row r="426" spans="1:16" hidden="1">
      <c r="A426" s="709" t="s">
        <v>542</v>
      </c>
      <c r="B426" s="709" t="s">
        <v>673</v>
      </c>
      <c r="C426" s="709" t="s">
        <v>996</v>
      </c>
      <c r="D426" s="709" t="s">
        <v>997</v>
      </c>
      <c r="E426" s="709" t="s">
        <v>998</v>
      </c>
      <c r="F426" s="709" t="s">
        <v>999</v>
      </c>
      <c r="G426" s="709" t="s">
        <v>1070</v>
      </c>
      <c r="H426" s="709">
        <v>5009</v>
      </c>
      <c r="I426" s="709" t="s">
        <v>991</v>
      </c>
      <c r="J426" s="709">
        <v>63300065</v>
      </c>
      <c r="K426" s="709" t="s">
        <v>1270</v>
      </c>
      <c r="L426" s="712">
        <v>6096.3177183842854</v>
      </c>
      <c r="M426" s="712">
        <v>6442</v>
      </c>
      <c r="N426" s="712">
        <v>6442</v>
      </c>
      <c r="O426" s="712">
        <v>6442</v>
      </c>
      <c r="P426" s="712">
        <v>6510.4482898535016</v>
      </c>
    </row>
    <row r="427" spans="1:16" hidden="1">
      <c r="A427" s="709" t="s">
        <v>133</v>
      </c>
      <c r="B427" s="709" t="s">
        <v>662</v>
      </c>
      <c r="C427" s="709" t="s">
        <v>1271</v>
      </c>
      <c r="D427" s="709" t="s">
        <v>1272</v>
      </c>
      <c r="E427" s="709" t="s">
        <v>1273</v>
      </c>
      <c r="F427" s="709" t="s">
        <v>1274</v>
      </c>
      <c r="G427" s="709" t="s">
        <v>1070</v>
      </c>
      <c r="H427" s="709">
        <v>5327</v>
      </c>
      <c r="I427" s="709" t="s">
        <v>754</v>
      </c>
      <c r="J427" s="709">
        <v>63300070</v>
      </c>
      <c r="K427" s="709" t="s">
        <v>1275</v>
      </c>
      <c r="L427" s="712">
        <v>-69518.008675425663</v>
      </c>
      <c r="M427" s="712">
        <v>-73459.92</v>
      </c>
      <c r="N427" s="712">
        <v>-67879.92</v>
      </c>
      <c r="O427" s="712">
        <v>-60496.04</v>
      </c>
      <c r="P427" s="712">
        <v>-61138.829581016616</v>
      </c>
    </row>
    <row r="428" spans="1:16" hidden="1">
      <c r="A428" s="709" t="s">
        <v>126</v>
      </c>
      <c r="B428" s="709" t="s">
        <v>663</v>
      </c>
      <c r="C428" s="709" t="s">
        <v>769</v>
      </c>
      <c r="D428" s="709" t="s">
        <v>770</v>
      </c>
      <c r="E428" s="709" t="s">
        <v>771</v>
      </c>
      <c r="F428" s="709" t="s">
        <v>772</v>
      </c>
      <c r="G428" s="709" t="s">
        <v>1070</v>
      </c>
      <c r="H428" s="709">
        <v>5325</v>
      </c>
      <c r="I428" s="709" t="s">
        <v>768</v>
      </c>
      <c r="J428" s="709">
        <v>63300070</v>
      </c>
      <c r="K428" s="709" t="s">
        <v>1275</v>
      </c>
      <c r="L428" s="712">
        <v>264.97500173045637</v>
      </c>
      <c r="M428" s="712">
        <v>280</v>
      </c>
      <c r="N428" s="712">
        <v>30</v>
      </c>
      <c r="O428" s="712">
        <v>280</v>
      </c>
      <c r="P428" s="712">
        <v>282.97508866174798</v>
      </c>
    </row>
    <row r="429" spans="1:16" hidden="1">
      <c r="A429" s="709" t="s">
        <v>406</v>
      </c>
      <c r="B429" s="709" t="s">
        <v>664</v>
      </c>
      <c r="C429" s="709" t="s">
        <v>794</v>
      </c>
      <c r="D429" s="709" t="s">
        <v>795</v>
      </c>
      <c r="E429" s="709" t="s">
        <v>796</v>
      </c>
      <c r="F429" s="709" t="s">
        <v>797</v>
      </c>
      <c r="G429" s="709" t="s">
        <v>1070</v>
      </c>
      <c r="H429" s="709">
        <v>5240</v>
      </c>
      <c r="I429" s="709" t="s">
        <v>785</v>
      </c>
      <c r="J429" s="709">
        <v>63300070</v>
      </c>
      <c r="K429" s="709" t="s">
        <v>1275</v>
      </c>
      <c r="L429" s="712">
        <v>-85170.536270503828</v>
      </c>
      <c r="M429" s="712">
        <v>-90000</v>
      </c>
      <c r="N429" s="712">
        <v>-90000</v>
      </c>
      <c r="O429" s="712">
        <v>-90000</v>
      </c>
      <c r="P429" s="712">
        <v>-90956.278498418993</v>
      </c>
    </row>
    <row r="430" spans="1:16" hidden="1">
      <c r="A430" s="709" t="s">
        <v>593</v>
      </c>
      <c r="B430" s="709" t="s">
        <v>665</v>
      </c>
      <c r="C430" s="709" t="s">
        <v>802</v>
      </c>
      <c r="D430" s="709" t="s">
        <v>803</v>
      </c>
      <c r="E430" s="709" t="s">
        <v>804</v>
      </c>
      <c r="F430" s="709" t="s">
        <v>805</v>
      </c>
      <c r="G430" s="709" t="s">
        <v>1070</v>
      </c>
      <c r="H430" s="709">
        <v>5150</v>
      </c>
      <c r="I430" s="709" t="s">
        <v>806</v>
      </c>
      <c r="J430" s="709">
        <v>63300070</v>
      </c>
      <c r="K430" s="709" t="s">
        <v>1275</v>
      </c>
      <c r="L430" s="712">
        <v>-30272.447608412749</v>
      </c>
      <c r="M430" s="712">
        <v>-31989.000000000007</v>
      </c>
      <c r="N430" s="712">
        <v>-31989.000000000007</v>
      </c>
      <c r="O430" s="712">
        <v>-31989.000000000007</v>
      </c>
      <c r="P430" s="712">
        <v>-32328.893254288065</v>
      </c>
    </row>
    <row r="431" spans="1:16" hidden="1">
      <c r="A431" s="709" t="s">
        <v>399</v>
      </c>
      <c r="B431" s="709" t="s">
        <v>668</v>
      </c>
      <c r="C431" s="709" t="s">
        <v>892</v>
      </c>
      <c r="D431" s="709" t="s">
        <v>893</v>
      </c>
      <c r="E431" s="709" t="s">
        <v>894</v>
      </c>
      <c r="F431" s="709" t="s">
        <v>895</v>
      </c>
      <c r="G431" s="709" t="s">
        <v>1070</v>
      </c>
      <c r="H431" s="709">
        <v>5021</v>
      </c>
      <c r="I431" s="709" t="s">
        <v>883</v>
      </c>
      <c r="J431" s="709">
        <v>63300070</v>
      </c>
      <c r="K431" s="709" t="s">
        <v>1275</v>
      </c>
      <c r="L431" s="712">
        <v>625.53027194225604</v>
      </c>
      <c r="M431" s="712">
        <v>661.00000000000011</v>
      </c>
      <c r="N431" s="712">
        <v>661.00000000000011</v>
      </c>
      <c r="O431" s="712">
        <v>661.00000000000011</v>
      </c>
      <c r="P431" s="712">
        <v>668.02333430505519</v>
      </c>
    </row>
    <row r="432" spans="1:16" hidden="1">
      <c r="A432" s="709" t="s">
        <v>133</v>
      </c>
      <c r="B432" s="709" t="s">
        <v>662</v>
      </c>
      <c r="C432" s="709" t="s">
        <v>756</v>
      </c>
      <c r="D432" s="709" t="s">
        <v>757</v>
      </c>
      <c r="E432" s="709" t="s">
        <v>758</v>
      </c>
      <c r="F432" s="709" t="s">
        <v>759</v>
      </c>
      <c r="G432" s="709" t="s">
        <v>1070</v>
      </c>
      <c r="H432" s="709">
        <v>5327</v>
      </c>
      <c r="I432" s="709" t="s">
        <v>754</v>
      </c>
      <c r="J432" s="709">
        <v>63300033</v>
      </c>
      <c r="K432" s="709" t="s">
        <v>1276</v>
      </c>
      <c r="L432" s="712">
        <v>16142.385856175706</v>
      </c>
      <c r="M432" s="712">
        <v>17057.714917299996</v>
      </c>
      <c r="N432" s="712">
        <v>17313.580641499997</v>
      </c>
      <c r="O432" s="712">
        <v>17573.284350699996</v>
      </c>
      <c r="P432" s="712">
        <v>17760.006061490858</v>
      </c>
    </row>
    <row r="433" spans="1:16" hidden="1">
      <c r="A433" s="709" t="s">
        <v>133</v>
      </c>
      <c r="B433" s="709" t="s">
        <v>662</v>
      </c>
      <c r="C433" s="709" t="s">
        <v>760</v>
      </c>
      <c r="D433" s="709" t="s">
        <v>761</v>
      </c>
      <c r="E433" s="709" t="s">
        <v>762</v>
      </c>
      <c r="F433" s="709" t="s">
        <v>763</v>
      </c>
      <c r="G433" s="709" t="s">
        <v>1070</v>
      </c>
      <c r="H433" s="709">
        <v>5327</v>
      </c>
      <c r="I433" s="709" t="s">
        <v>754</v>
      </c>
      <c r="J433" s="709">
        <v>63300033</v>
      </c>
      <c r="K433" s="709" t="s">
        <v>1276</v>
      </c>
      <c r="L433" s="712">
        <v>3617.1982398833338</v>
      </c>
      <c r="M433" s="712">
        <v>3822.3058799999999</v>
      </c>
      <c r="N433" s="712">
        <v>3879.6404687999998</v>
      </c>
      <c r="O433" s="712">
        <v>3937.8350747999998</v>
      </c>
      <c r="P433" s="712">
        <v>3979.6758193816818</v>
      </c>
    </row>
    <row r="434" spans="1:16" hidden="1">
      <c r="A434" s="709" t="s">
        <v>126</v>
      </c>
      <c r="B434" s="709" t="s">
        <v>663</v>
      </c>
      <c r="C434" s="709" t="s">
        <v>1077</v>
      </c>
      <c r="D434" s="709" t="s">
        <v>1078</v>
      </c>
      <c r="E434" s="709" t="s">
        <v>1079</v>
      </c>
      <c r="F434" s="709" t="s">
        <v>1080</v>
      </c>
      <c r="G434" s="709" t="s">
        <v>1070</v>
      </c>
      <c r="H434" s="709">
        <v>5325</v>
      </c>
      <c r="I434" s="709" t="s">
        <v>768</v>
      </c>
      <c r="J434" s="709">
        <v>63300033</v>
      </c>
      <c r="K434" s="709" t="s">
        <v>1276</v>
      </c>
      <c r="L434" s="712">
        <v>4227.3070799070565</v>
      </c>
      <c r="M434" s="712">
        <v>4467.0099995999999</v>
      </c>
      <c r="N434" s="712">
        <v>4578.6852491999998</v>
      </c>
      <c r="O434" s="712">
        <v>4693.1523803999999</v>
      </c>
      <c r="P434" s="712">
        <v>4743.0186105242274</v>
      </c>
    </row>
    <row r="435" spans="1:16" hidden="1">
      <c r="A435" s="709" t="s">
        <v>126</v>
      </c>
      <c r="B435" s="709" t="s">
        <v>663</v>
      </c>
      <c r="C435" s="709" t="s">
        <v>769</v>
      </c>
      <c r="D435" s="709" t="s">
        <v>770</v>
      </c>
      <c r="E435" s="709" t="s">
        <v>771</v>
      </c>
      <c r="F435" s="709" t="s">
        <v>772</v>
      </c>
      <c r="G435" s="709" t="s">
        <v>1070</v>
      </c>
      <c r="H435" s="709">
        <v>5325</v>
      </c>
      <c r="I435" s="709" t="s">
        <v>768</v>
      </c>
      <c r="J435" s="709">
        <v>63300033</v>
      </c>
      <c r="K435" s="709" t="s">
        <v>1276</v>
      </c>
      <c r="L435" s="712">
        <v>13611.834642397125</v>
      </c>
      <c r="M435" s="712">
        <v>14383.6727049</v>
      </c>
      <c r="N435" s="712">
        <v>14743.264521900001</v>
      </c>
      <c r="O435" s="712">
        <v>15111.846134900001</v>
      </c>
      <c r="P435" s="712">
        <v>15272.414285235791</v>
      </c>
    </row>
    <row r="436" spans="1:16" hidden="1">
      <c r="A436" s="709" t="s">
        <v>127</v>
      </c>
      <c r="B436" s="709" t="s">
        <v>663</v>
      </c>
      <c r="C436" s="709" t="s">
        <v>1085</v>
      </c>
      <c r="D436" s="709" t="s">
        <v>1086</v>
      </c>
      <c r="E436" s="709" t="s">
        <v>1087</v>
      </c>
      <c r="F436" s="709" t="s">
        <v>1088</v>
      </c>
      <c r="G436" s="709" t="s">
        <v>1070</v>
      </c>
      <c r="H436" s="709">
        <v>5325</v>
      </c>
      <c r="I436" s="709" t="s">
        <v>768</v>
      </c>
      <c r="J436" s="709">
        <v>63300033</v>
      </c>
      <c r="K436" s="709" t="s">
        <v>1276</v>
      </c>
      <c r="L436" s="712">
        <v>4240.8108688112807</v>
      </c>
      <c r="M436" s="712">
        <v>4481.2794999999996</v>
      </c>
      <c r="N436" s="712">
        <v>4593.3114877999997</v>
      </c>
      <c r="O436" s="712">
        <v>4708.1400000000003</v>
      </c>
      <c r="P436" s="712">
        <v>4758.1654783282938</v>
      </c>
    </row>
    <row r="437" spans="1:16" hidden="1">
      <c r="A437" s="709" t="s">
        <v>127</v>
      </c>
      <c r="B437" s="709" t="s">
        <v>663</v>
      </c>
      <c r="C437" s="709" t="s">
        <v>777</v>
      </c>
      <c r="D437" s="709" t="s">
        <v>778</v>
      </c>
      <c r="E437" s="709" t="s">
        <v>779</v>
      </c>
      <c r="F437" s="709" t="s">
        <v>780</v>
      </c>
      <c r="G437" s="709" t="s">
        <v>1070</v>
      </c>
      <c r="H437" s="709">
        <v>5325</v>
      </c>
      <c r="I437" s="709" t="s">
        <v>768</v>
      </c>
      <c r="J437" s="709">
        <v>63300033</v>
      </c>
      <c r="K437" s="709" t="s">
        <v>1276</v>
      </c>
      <c r="L437" s="712">
        <v>49631.066991979773</v>
      </c>
      <c r="M437" s="712">
        <v>52445.32</v>
      </c>
      <c r="N437" s="712">
        <v>53756.44</v>
      </c>
      <c r="O437" s="712">
        <v>55100.35</v>
      </c>
      <c r="P437" s="712">
        <v>55685.808666226236</v>
      </c>
    </row>
    <row r="438" spans="1:16" hidden="1">
      <c r="A438" s="709" t="s">
        <v>406</v>
      </c>
      <c r="B438" s="709" t="s">
        <v>664</v>
      </c>
      <c r="C438" s="709" t="s">
        <v>781</v>
      </c>
      <c r="D438" s="709" t="s">
        <v>782</v>
      </c>
      <c r="E438" s="709" t="s">
        <v>783</v>
      </c>
      <c r="F438" s="709" t="s">
        <v>784</v>
      </c>
      <c r="G438" s="709" t="s">
        <v>1070</v>
      </c>
      <c r="H438" s="709">
        <v>5240</v>
      </c>
      <c r="I438" s="709" t="s">
        <v>785</v>
      </c>
      <c r="J438" s="709">
        <v>63300033</v>
      </c>
      <c r="K438" s="709" t="s">
        <v>1276</v>
      </c>
      <c r="L438" s="712">
        <v>93713.141058435402</v>
      </c>
      <c r="M438" s="712">
        <v>99027.000000000044</v>
      </c>
      <c r="N438" s="712">
        <v>99027.000000000044</v>
      </c>
      <c r="O438" s="712">
        <v>99027.000000000044</v>
      </c>
      <c r="P438" s="712">
        <v>100079.19323181047</v>
      </c>
    </row>
    <row r="439" spans="1:16" hidden="1">
      <c r="A439" s="709" t="s">
        <v>406</v>
      </c>
      <c r="B439" s="709" t="s">
        <v>664</v>
      </c>
      <c r="C439" s="709" t="s">
        <v>794</v>
      </c>
      <c r="D439" s="709" t="s">
        <v>795</v>
      </c>
      <c r="E439" s="709" t="s">
        <v>796</v>
      </c>
      <c r="F439" s="709" t="s">
        <v>797</v>
      </c>
      <c r="G439" s="709" t="s">
        <v>1070</v>
      </c>
      <c r="H439" s="709">
        <v>5240</v>
      </c>
      <c r="I439" s="709" t="s">
        <v>785</v>
      </c>
      <c r="J439" s="709">
        <v>63300033</v>
      </c>
      <c r="K439" s="709" t="s">
        <v>1276</v>
      </c>
      <c r="L439" s="712">
        <v>41920.937952341985</v>
      </c>
      <c r="M439" s="712">
        <v>44298</v>
      </c>
      <c r="N439" s="712">
        <v>44298</v>
      </c>
      <c r="O439" s="712">
        <v>44298</v>
      </c>
      <c r="P439" s="712">
        <v>44768.680276921827</v>
      </c>
    </row>
    <row r="440" spans="1:16" hidden="1">
      <c r="A440" s="709" t="s">
        <v>406</v>
      </c>
      <c r="B440" s="709" t="s">
        <v>664</v>
      </c>
      <c r="C440" s="709" t="s">
        <v>798</v>
      </c>
      <c r="D440" s="709" t="s">
        <v>799</v>
      </c>
      <c r="E440" s="709" t="s">
        <v>800</v>
      </c>
      <c r="F440" s="709" t="s">
        <v>801</v>
      </c>
      <c r="G440" s="709" t="s">
        <v>1070</v>
      </c>
      <c r="H440" s="709">
        <v>5240</v>
      </c>
      <c r="I440" s="709" t="s">
        <v>785</v>
      </c>
      <c r="J440" s="709">
        <v>63300033</v>
      </c>
      <c r="K440" s="709" t="s">
        <v>1276</v>
      </c>
      <c r="L440" s="712">
        <v>17204.44832664177</v>
      </c>
      <c r="M440" s="712">
        <v>18179.999999999996</v>
      </c>
      <c r="N440" s="712">
        <v>18179.999999999996</v>
      </c>
      <c r="O440" s="712">
        <v>18179.999999999996</v>
      </c>
      <c r="P440" s="712">
        <v>18373.168256680634</v>
      </c>
    </row>
    <row r="441" spans="1:16" hidden="1">
      <c r="A441" s="709" t="s">
        <v>593</v>
      </c>
      <c r="B441" s="709" t="s">
        <v>665</v>
      </c>
      <c r="C441" s="709" t="s">
        <v>802</v>
      </c>
      <c r="D441" s="709" t="s">
        <v>803</v>
      </c>
      <c r="E441" s="709" t="s">
        <v>804</v>
      </c>
      <c r="F441" s="709" t="s">
        <v>805</v>
      </c>
      <c r="G441" s="709" t="s">
        <v>1070</v>
      </c>
      <c r="H441" s="709">
        <v>5150</v>
      </c>
      <c r="I441" s="709" t="s">
        <v>806</v>
      </c>
      <c r="J441" s="709">
        <v>63300033</v>
      </c>
      <c r="K441" s="709" t="s">
        <v>1276</v>
      </c>
      <c r="L441" s="712">
        <v>40695.428569338626</v>
      </c>
      <c r="M441" s="712">
        <v>43003.000000000007</v>
      </c>
      <c r="N441" s="712">
        <v>43963.000000000007</v>
      </c>
      <c r="O441" s="712">
        <v>44983.000000000007</v>
      </c>
      <c r="P441" s="712">
        <v>45460.958618826473</v>
      </c>
    </row>
    <row r="442" spans="1:16" hidden="1">
      <c r="A442" s="709" t="s">
        <v>593</v>
      </c>
      <c r="B442" s="709" t="s">
        <v>665</v>
      </c>
      <c r="C442" s="709" t="s">
        <v>807</v>
      </c>
      <c r="D442" s="709" t="s">
        <v>808</v>
      </c>
      <c r="E442" s="709" t="s">
        <v>809</v>
      </c>
      <c r="F442" s="709" t="s">
        <v>810</v>
      </c>
      <c r="G442" s="709" t="s">
        <v>1070</v>
      </c>
      <c r="H442" s="709">
        <v>5150</v>
      </c>
      <c r="I442" s="709" t="s">
        <v>806</v>
      </c>
      <c r="J442" s="709">
        <v>63300033</v>
      </c>
      <c r="K442" s="709" t="s">
        <v>1276</v>
      </c>
      <c r="L442" s="712">
        <v>46036.567532791116</v>
      </c>
      <c r="M442" s="712">
        <v>48647.000000000007</v>
      </c>
      <c r="N442" s="712">
        <v>48827.000000000007</v>
      </c>
      <c r="O442" s="712">
        <v>49007.000000000007</v>
      </c>
      <c r="P442" s="712">
        <v>49527.71489302245</v>
      </c>
    </row>
    <row r="443" spans="1:16" hidden="1">
      <c r="A443" s="709" t="s">
        <v>593</v>
      </c>
      <c r="B443" s="709" t="s">
        <v>665</v>
      </c>
      <c r="C443" s="709" t="s">
        <v>815</v>
      </c>
      <c r="D443" s="709" t="s">
        <v>816</v>
      </c>
      <c r="E443" s="709" t="s">
        <v>817</v>
      </c>
      <c r="F443" s="709" t="s">
        <v>818</v>
      </c>
      <c r="G443" s="709" t="s">
        <v>1070</v>
      </c>
      <c r="H443" s="709">
        <v>5150</v>
      </c>
      <c r="I443" s="709" t="s">
        <v>806</v>
      </c>
      <c r="J443" s="709">
        <v>63300033</v>
      </c>
      <c r="K443" s="709" t="s">
        <v>1276</v>
      </c>
      <c r="L443" s="712">
        <v>15728.15903128637</v>
      </c>
      <c r="M443" s="712">
        <v>16619.999999999996</v>
      </c>
      <c r="N443" s="712">
        <v>17039.999999999996</v>
      </c>
      <c r="O443" s="712">
        <v>17399.999999999996</v>
      </c>
      <c r="P443" s="712">
        <v>17584.880509694336</v>
      </c>
    </row>
    <row r="444" spans="1:16" hidden="1">
      <c r="A444" s="709" t="s">
        <v>593</v>
      </c>
      <c r="B444" s="709" t="s">
        <v>666</v>
      </c>
      <c r="C444" s="709" t="s">
        <v>823</v>
      </c>
      <c r="D444" s="709" t="s">
        <v>824</v>
      </c>
      <c r="E444" s="709" t="s">
        <v>825</v>
      </c>
      <c r="F444" s="709" t="s">
        <v>826</v>
      </c>
      <c r="G444" s="709" t="s">
        <v>1070</v>
      </c>
      <c r="H444" s="709">
        <v>5031</v>
      </c>
      <c r="I444" s="709" t="s">
        <v>827</v>
      </c>
      <c r="J444" s="709">
        <v>63300033</v>
      </c>
      <c r="K444" s="709" t="s">
        <v>1276</v>
      </c>
      <c r="L444" s="712">
        <v>13127.618657160323</v>
      </c>
      <c r="M444" s="712">
        <v>13872</v>
      </c>
      <c r="N444" s="712">
        <v>13872</v>
      </c>
      <c r="O444" s="712">
        <v>13872</v>
      </c>
      <c r="P444" s="712">
        <v>14019.394392556314</v>
      </c>
    </row>
    <row r="445" spans="1:16" hidden="1">
      <c r="A445" s="709" t="s">
        <v>397</v>
      </c>
      <c r="B445" s="709" t="s">
        <v>666</v>
      </c>
      <c r="C445" s="709" t="s">
        <v>828</v>
      </c>
      <c r="D445" s="709" t="s">
        <v>829</v>
      </c>
      <c r="E445" s="709" t="s">
        <v>830</v>
      </c>
      <c r="F445" s="709" t="s">
        <v>831</v>
      </c>
      <c r="G445" s="709" t="s">
        <v>1070</v>
      </c>
      <c r="H445" s="709">
        <v>5031</v>
      </c>
      <c r="I445" s="709" t="s">
        <v>827</v>
      </c>
      <c r="J445" s="709">
        <v>63300033</v>
      </c>
      <c r="K445" s="709" t="s">
        <v>1276</v>
      </c>
      <c r="L445" s="712">
        <v>5475.8673061236759</v>
      </c>
      <c r="M445" s="712">
        <v>5786.3679052800162</v>
      </c>
      <c r="N445" s="712">
        <v>5786.3679052800162</v>
      </c>
      <c r="O445" s="712">
        <v>5786.3679052800162</v>
      </c>
      <c r="P445" s="712">
        <v>5847.8498965218059</v>
      </c>
    </row>
    <row r="446" spans="1:16" hidden="1">
      <c r="A446" s="709" t="s">
        <v>593</v>
      </c>
      <c r="B446" s="709" t="s">
        <v>666</v>
      </c>
      <c r="C446" s="709" t="s">
        <v>832</v>
      </c>
      <c r="D446" s="709" t="s">
        <v>833</v>
      </c>
      <c r="E446" s="709" t="s">
        <v>834</v>
      </c>
      <c r="F446" s="709" t="s">
        <v>835</v>
      </c>
      <c r="G446" s="709" t="s">
        <v>1070</v>
      </c>
      <c r="H446" s="709">
        <v>5031</v>
      </c>
      <c r="I446" s="709" t="s">
        <v>827</v>
      </c>
      <c r="J446" s="709">
        <v>63300033</v>
      </c>
      <c r="K446" s="709" t="s">
        <v>1276</v>
      </c>
      <c r="L446" s="712">
        <v>1567.1378673772704</v>
      </c>
      <c r="M446" s="712">
        <v>1656</v>
      </c>
      <c r="N446" s="712">
        <v>1656</v>
      </c>
      <c r="O446" s="712">
        <v>1656</v>
      </c>
      <c r="P446" s="712">
        <v>1673.5955243709095</v>
      </c>
    </row>
    <row r="447" spans="1:16" hidden="1">
      <c r="A447" s="709" t="s">
        <v>398</v>
      </c>
      <c r="B447" s="709" t="s">
        <v>667</v>
      </c>
      <c r="C447" s="709" t="s">
        <v>836</v>
      </c>
      <c r="D447" s="709" t="s">
        <v>837</v>
      </c>
      <c r="E447" s="709" t="s">
        <v>838</v>
      </c>
      <c r="F447" s="709" t="s">
        <v>839</v>
      </c>
      <c r="G447" s="709" t="s">
        <v>1070</v>
      </c>
      <c r="H447" s="709">
        <v>5025</v>
      </c>
      <c r="I447" s="709" t="s">
        <v>840</v>
      </c>
      <c r="J447" s="709">
        <v>63300033</v>
      </c>
      <c r="K447" s="709" t="s">
        <v>1276</v>
      </c>
      <c r="L447" s="712">
        <v>31433.605919567279</v>
      </c>
      <c r="M447" s="712">
        <v>33216</v>
      </c>
      <c r="N447" s="712">
        <v>33216</v>
      </c>
      <c r="O447" s="712">
        <v>33216</v>
      </c>
      <c r="P447" s="712">
        <v>33568.930517816501</v>
      </c>
    </row>
    <row r="448" spans="1:16" hidden="1">
      <c r="A448" s="709" t="s">
        <v>398</v>
      </c>
      <c r="B448" s="709" t="s">
        <v>667</v>
      </c>
      <c r="C448" s="709" t="s">
        <v>1277</v>
      </c>
      <c r="D448" s="709" t="s">
        <v>1278</v>
      </c>
      <c r="E448" s="709" t="s">
        <v>1279</v>
      </c>
      <c r="F448" s="709" t="s">
        <v>1280</v>
      </c>
      <c r="G448" s="709" t="s">
        <v>1070</v>
      </c>
      <c r="H448" s="709">
        <v>5025</v>
      </c>
      <c r="I448" s="709" t="s">
        <v>840</v>
      </c>
      <c r="J448" s="709">
        <v>63300033</v>
      </c>
      <c r="K448" s="709" t="s">
        <v>1276</v>
      </c>
      <c r="L448" s="712">
        <v>78929.12581188629</v>
      </c>
      <c r="M448" s="712">
        <v>83404.680000000008</v>
      </c>
      <c r="N448" s="712">
        <v>83404.680000000008</v>
      </c>
      <c r="O448" s="712">
        <v>83404.680000000008</v>
      </c>
      <c r="P448" s="712">
        <v>84290.881135016854</v>
      </c>
    </row>
    <row r="449" spans="1:16" hidden="1">
      <c r="A449" s="709" t="s">
        <v>397</v>
      </c>
      <c r="B449" s="709" t="s">
        <v>873</v>
      </c>
      <c r="C449" s="709" t="s">
        <v>874</v>
      </c>
      <c r="D449" s="709" t="s">
        <v>875</v>
      </c>
      <c r="E449" s="709" t="s">
        <v>876</v>
      </c>
      <c r="F449" s="709" t="s">
        <v>877</v>
      </c>
      <c r="G449" s="709" t="s">
        <v>1070</v>
      </c>
      <c r="H449" s="709">
        <v>5024</v>
      </c>
      <c r="I449" s="709" t="s">
        <v>878</v>
      </c>
      <c r="J449" s="709">
        <v>63300033</v>
      </c>
      <c r="K449" s="709" t="s">
        <v>1276</v>
      </c>
      <c r="L449" s="712">
        <v>1646.6303678964073</v>
      </c>
      <c r="M449" s="712">
        <v>1740</v>
      </c>
      <c r="N449" s="712">
        <v>1740</v>
      </c>
      <c r="O449" s="712">
        <v>1740</v>
      </c>
      <c r="P449" s="712">
        <v>1758.488050969434</v>
      </c>
    </row>
    <row r="450" spans="1:16" hidden="1">
      <c r="A450" s="709" t="s">
        <v>399</v>
      </c>
      <c r="B450" s="709" t="s">
        <v>668</v>
      </c>
      <c r="C450" s="709" t="s">
        <v>879</v>
      </c>
      <c r="D450" s="709" t="s">
        <v>880</v>
      </c>
      <c r="E450" s="709" t="s">
        <v>881</v>
      </c>
      <c r="F450" s="709" t="s">
        <v>882</v>
      </c>
      <c r="G450" s="709" t="s">
        <v>1070</v>
      </c>
      <c r="H450" s="709">
        <v>5021</v>
      </c>
      <c r="I450" s="709" t="s">
        <v>883</v>
      </c>
      <c r="J450" s="709">
        <v>63300033</v>
      </c>
      <c r="K450" s="709" t="s">
        <v>1276</v>
      </c>
      <c r="L450" s="712">
        <v>2675.7175674741488</v>
      </c>
      <c r="M450" s="712">
        <v>2827.4400000000005</v>
      </c>
      <c r="N450" s="712">
        <v>2883.9888000000005</v>
      </c>
      <c r="O450" s="712">
        <v>2941.6685760000005</v>
      </c>
      <c r="P450" s="712">
        <v>2972.9247360967074</v>
      </c>
    </row>
    <row r="451" spans="1:16" hidden="1">
      <c r="A451" s="709" t="s">
        <v>399</v>
      </c>
      <c r="B451" s="709" t="s">
        <v>668</v>
      </c>
      <c r="C451" s="709" t="s">
        <v>1097</v>
      </c>
      <c r="D451" s="709" t="s">
        <v>1098</v>
      </c>
      <c r="E451" s="709" t="s">
        <v>1099</v>
      </c>
      <c r="F451" s="709" t="s">
        <v>1100</v>
      </c>
      <c r="G451" s="709" t="s">
        <v>1070</v>
      </c>
      <c r="H451" s="709">
        <v>5021</v>
      </c>
      <c r="I451" s="709" t="s">
        <v>883</v>
      </c>
      <c r="J451" s="709">
        <v>63300033</v>
      </c>
      <c r="K451" s="709" t="s">
        <v>1276</v>
      </c>
      <c r="L451" s="712">
        <v>4428.8678860661985</v>
      </c>
      <c r="M451" s="712">
        <v>4679.9999999999991</v>
      </c>
      <c r="N451" s="712">
        <v>4679.9999999999991</v>
      </c>
      <c r="O451" s="712">
        <v>4679.9999999999991</v>
      </c>
      <c r="P451" s="712">
        <v>4729.7264819177872</v>
      </c>
    </row>
    <row r="452" spans="1:16" hidden="1">
      <c r="A452" s="709" t="s">
        <v>399</v>
      </c>
      <c r="B452" s="709" t="s">
        <v>668</v>
      </c>
      <c r="C452" s="709" t="s">
        <v>884</v>
      </c>
      <c r="D452" s="709" t="s">
        <v>885</v>
      </c>
      <c r="E452" s="709" t="s">
        <v>886</v>
      </c>
      <c r="F452" s="709" t="s">
        <v>887</v>
      </c>
      <c r="G452" s="709" t="s">
        <v>1070</v>
      </c>
      <c r="H452" s="709">
        <v>5021</v>
      </c>
      <c r="I452" s="709" t="s">
        <v>883</v>
      </c>
      <c r="J452" s="709">
        <v>63300033</v>
      </c>
      <c r="K452" s="709" t="s">
        <v>1276</v>
      </c>
      <c r="L452" s="712">
        <v>3530.7918980583295</v>
      </c>
      <c r="M452" s="712">
        <v>3730.9999999999986</v>
      </c>
      <c r="N452" s="712">
        <v>3730.9999999999986</v>
      </c>
      <c r="O452" s="712">
        <v>3730.9999999999986</v>
      </c>
      <c r="P452" s="712">
        <v>3770.6430564177904</v>
      </c>
    </row>
    <row r="453" spans="1:16" hidden="1">
      <c r="A453" s="709" t="s">
        <v>399</v>
      </c>
      <c r="B453" s="709" t="s">
        <v>668</v>
      </c>
      <c r="C453" s="709" t="s">
        <v>892</v>
      </c>
      <c r="D453" s="709" t="s">
        <v>893</v>
      </c>
      <c r="E453" s="709" t="s">
        <v>894</v>
      </c>
      <c r="F453" s="709" t="s">
        <v>895</v>
      </c>
      <c r="G453" s="709" t="s">
        <v>1070</v>
      </c>
      <c r="H453" s="709">
        <v>5021</v>
      </c>
      <c r="I453" s="709" t="s">
        <v>883</v>
      </c>
      <c r="J453" s="709">
        <v>63300033</v>
      </c>
      <c r="K453" s="709" t="s">
        <v>1276</v>
      </c>
      <c r="L453" s="712">
        <v>21020.088351560349</v>
      </c>
      <c r="M453" s="712">
        <v>22212.000000000004</v>
      </c>
      <c r="N453" s="712">
        <v>22212.000000000004</v>
      </c>
      <c r="O453" s="712">
        <v>22212.000000000004</v>
      </c>
      <c r="P453" s="712">
        <v>22448.009533409811</v>
      </c>
    </row>
    <row r="454" spans="1:16" hidden="1">
      <c r="A454" s="709" t="s">
        <v>399</v>
      </c>
      <c r="B454" s="709" t="s">
        <v>668</v>
      </c>
      <c r="C454" s="709" t="s">
        <v>1166</v>
      </c>
      <c r="D454" s="709" t="s">
        <v>1167</v>
      </c>
      <c r="E454" s="709" t="s">
        <v>1168</v>
      </c>
      <c r="F454" s="709" t="s">
        <v>1169</v>
      </c>
      <c r="G454" s="709" t="s">
        <v>1070</v>
      </c>
      <c r="H454" s="709">
        <v>5021</v>
      </c>
      <c r="I454" s="709" t="s">
        <v>883</v>
      </c>
      <c r="J454" s="709">
        <v>63300033</v>
      </c>
      <c r="K454" s="709" t="s">
        <v>1276</v>
      </c>
      <c r="L454" s="712">
        <v>39676.221151968268</v>
      </c>
      <c r="M454" s="712">
        <v>41926.000000000007</v>
      </c>
      <c r="N454" s="712">
        <v>41926.000000000007</v>
      </c>
      <c r="O454" s="712">
        <v>41926.000000000007</v>
      </c>
      <c r="P454" s="712">
        <v>42371.477025830172</v>
      </c>
    </row>
    <row r="455" spans="1:16" hidden="1">
      <c r="A455" s="709" t="s">
        <v>407</v>
      </c>
      <c r="B455" s="709" t="s">
        <v>669</v>
      </c>
      <c r="C455" s="709" t="s">
        <v>904</v>
      </c>
      <c r="D455" s="709" t="s">
        <v>905</v>
      </c>
      <c r="E455" s="709" t="s">
        <v>906</v>
      </c>
      <c r="F455" s="709" t="s">
        <v>907</v>
      </c>
      <c r="G455" s="709" t="s">
        <v>1070</v>
      </c>
      <c r="H455" s="709">
        <v>5020</v>
      </c>
      <c r="I455" s="709" t="s">
        <v>908</v>
      </c>
      <c r="J455" s="709">
        <v>63300033</v>
      </c>
      <c r="K455" s="709" t="s">
        <v>1276</v>
      </c>
      <c r="L455" s="712">
        <v>567.80357513669219</v>
      </c>
      <c r="M455" s="712">
        <v>600</v>
      </c>
      <c r="N455" s="712">
        <v>600</v>
      </c>
      <c r="O455" s="712">
        <v>600</v>
      </c>
      <c r="P455" s="712">
        <v>606.37518998945995</v>
      </c>
    </row>
    <row r="456" spans="1:16" hidden="1">
      <c r="A456" s="709" t="s">
        <v>287</v>
      </c>
      <c r="B456" s="709" t="s">
        <v>670</v>
      </c>
      <c r="C456" s="709" t="s">
        <v>934</v>
      </c>
      <c r="D456" s="709" t="s">
        <v>935</v>
      </c>
      <c r="E456" s="709" t="s">
        <v>936</v>
      </c>
      <c r="F456" s="709" t="s">
        <v>937</v>
      </c>
      <c r="G456" s="709" t="s">
        <v>1070</v>
      </c>
      <c r="H456" s="709">
        <v>5019</v>
      </c>
      <c r="I456" s="709" t="s">
        <v>921</v>
      </c>
      <c r="J456" s="709">
        <v>63300033</v>
      </c>
      <c r="K456" s="709" t="s">
        <v>1276</v>
      </c>
      <c r="L456" s="712">
        <v>12718.800083061908</v>
      </c>
      <c r="M456" s="712">
        <v>13440.000000000004</v>
      </c>
      <c r="N456" s="712">
        <v>13440.000000000004</v>
      </c>
      <c r="O456" s="712">
        <v>13440.000000000004</v>
      </c>
      <c r="P456" s="712">
        <v>13582.804255763907</v>
      </c>
    </row>
    <row r="457" spans="1:16" hidden="1">
      <c r="A457" s="709" t="s">
        <v>287</v>
      </c>
      <c r="B457" s="709" t="s">
        <v>670</v>
      </c>
      <c r="C457" s="709" t="s">
        <v>942</v>
      </c>
      <c r="D457" s="709" t="s">
        <v>943</v>
      </c>
      <c r="E457" s="709" t="s">
        <v>944</v>
      </c>
      <c r="F457" s="709" t="s">
        <v>945</v>
      </c>
      <c r="G457" s="709" t="s">
        <v>1070</v>
      </c>
      <c r="H457" s="709">
        <v>5019</v>
      </c>
      <c r="I457" s="709" t="s">
        <v>921</v>
      </c>
      <c r="J457" s="709">
        <v>63300033</v>
      </c>
      <c r="K457" s="709" t="s">
        <v>1276</v>
      </c>
      <c r="L457" s="712">
        <v>14762.892953553994</v>
      </c>
      <c r="M457" s="712">
        <v>15599.999999999996</v>
      </c>
      <c r="N457" s="712">
        <v>15599.999999999996</v>
      </c>
      <c r="O457" s="712">
        <v>15599.999999999996</v>
      </c>
      <c r="P457" s="712">
        <v>15765.754939725955</v>
      </c>
    </row>
    <row r="458" spans="1:16" hidden="1">
      <c r="A458" s="709" t="s">
        <v>403</v>
      </c>
      <c r="B458" s="709" t="s">
        <v>671</v>
      </c>
      <c r="C458" s="709" t="s">
        <v>979</v>
      </c>
      <c r="D458" s="709" t="s">
        <v>980</v>
      </c>
      <c r="E458" s="709" t="s">
        <v>981</v>
      </c>
      <c r="F458" s="709" t="s">
        <v>982</v>
      </c>
      <c r="G458" s="709" t="s">
        <v>1070</v>
      </c>
      <c r="H458" s="709">
        <v>5017</v>
      </c>
      <c r="I458" s="709" t="s">
        <v>954</v>
      </c>
      <c r="J458" s="709">
        <v>63300033</v>
      </c>
      <c r="K458" s="709" t="s">
        <v>1276</v>
      </c>
      <c r="L458" s="712">
        <v>3668.0110953830313</v>
      </c>
      <c r="M458" s="712">
        <v>3876</v>
      </c>
      <c r="N458" s="712">
        <v>3876</v>
      </c>
      <c r="O458" s="712">
        <v>3876</v>
      </c>
      <c r="P458" s="712">
        <v>3917.1837273319115</v>
      </c>
    </row>
    <row r="459" spans="1:16" hidden="1">
      <c r="A459" s="709" t="s">
        <v>403</v>
      </c>
      <c r="B459" s="709" t="s">
        <v>671</v>
      </c>
      <c r="C459" s="709" t="s">
        <v>1202</v>
      </c>
      <c r="D459" s="709" t="s">
        <v>1203</v>
      </c>
      <c r="E459" s="709" t="s">
        <v>1204</v>
      </c>
      <c r="F459" s="709" t="s">
        <v>1205</v>
      </c>
      <c r="G459" s="709" t="s">
        <v>1070</v>
      </c>
      <c r="H459" s="709">
        <v>5017</v>
      </c>
      <c r="I459" s="709" t="s">
        <v>954</v>
      </c>
      <c r="J459" s="709">
        <v>63300033</v>
      </c>
      <c r="K459" s="709" t="s">
        <v>1276</v>
      </c>
      <c r="L459" s="712">
        <v>11639.97329030219</v>
      </c>
      <c r="M459" s="712">
        <v>12300</v>
      </c>
      <c r="N459" s="712">
        <v>12300</v>
      </c>
      <c r="O459" s="712">
        <v>12300</v>
      </c>
      <c r="P459" s="712">
        <v>12430.691394783929</v>
      </c>
    </row>
    <row r="460" spans="1:16" hidden="1">
      <c r="A460" s="709" t="s">
        <v>397</v>
      </c>
      <c r="B460" s="709" t="s">
        <v>673</v>
      </c>
      <c r="C460" s="709" t="s">
        <v>987</v>
      </c>
      <c r="D460" s="709" t="s">
        <v>988</v>
      </c>
      <c r="E460" s="709" t="s">
        <v>989</v>
      </c>
      <c r="F460" s="709" t="s">
        <v>990</v>
      </c>
      <c r="G460" s="709" t="s">
        <v>1070</v>
      </c>
      <c r="H460" s="709">
        <v>5009</v>
      </c>
      <c r="I460" s="709" t="s">
        <v>991</v>
      </c>
      <c r="J460" s="709">
        <v>63300033</v>
      </c>
      <c r="K460" s="709" t="s">
        <v>1276</v>
      </c>
      <c r="L460" s="712">
        <v>7154.3250467223215</v>
      </c>
      <c r="M460" s="712">
        <v>7560</v>
      </c>
      <c r="N460" s="712">
        <v>7560</v>
      </c>
      <c r="O460" s="712">
        <v>7560</v>
      </c>
      <c r="P460" s="712">
        <v>7640.3273938671955</v>
      </c>
    </row>
    <row r="461" spans="1:16" hidden="1">
      <c r="A461" s="709" t="s">
        <v>404</v>
      </c>
      <c r="B461" s="709" t="s">
        <v>673</v>
      </c>
      <c r="C461" s="709" t="s">
        <v>992</v>
      </c>
      <c r="D461" s="709" t="s">
        <v>993</v>
      </c>
      <c r="E461" s="709" t="s">
        <v>994</v>
      </c>
      <c r="F461" s="709" t="s">
        <v>995</v>
      </c>
      <c r="G461" s="709" t="s">
        <v>1070</v>
      </c>
      <c r="H461" s="709">
        <v>5009</v>
      </c>
      <c r="I461" s="709" t="s">
        <v>991</v>
      </c>
      <c r="J461" s="709">
        <v>63300033</v>
      </c>
      <c r="K461" s="709" t="s">
        <v>1276</v>
      </c>
      <c r="L461" s="712">
        <v>720.16420113170454</v>
      </c>
      <c r="M461" s="712">
        <v>761</v>
      </c>
      <c r="N461" s="712">
        <v>761</v>
      </c>
      <c r="O461" s="712">
        <v>761</v>
      </c>
      <c r="P461" s="712">
        <v>769.08586596996508</v>
      </c>
    </row>
    <row r="462" spans="1:16" hidden="1">
      <c r="A462" s="709" t="s">
        <v>542</v>
      </c>
      <c r="B462" s="709" t="s">
        <v>673</v>
      </c>
      <c r="C462" s="709" t="s">
        <v>1222</v>
      </c>
      <c r="D462" s="709" t="s">
        <v>1223</v>
      </c>
      <c r="E462" s="709" t="s">
        <v>1224</v>
      </c>
      <c r="F462" s="709" t="s">
        <v>1225</v>
      </c>
      <c r="G462" s="709" t="s">
        <v>1070</v>
      </c>
      <c r="H462" s="709">
        <v>5009</v>
      </c>
      <c r="I462" s="709" t="s">
        <v>991</v>
      </c>
      <c r="J462" s="709">
        <v>63300033</v>
      </c>
      <c r="K462" s="709" t="s">
        <v>1276</v>
      </c>
      <c r="L462" s="712">
        <v>33595.04486225429</v>
      </c>
      <c r="M462" s="712">
        <v>35500</v>
      </c>
      <c r="N462" s="712">
        <v>33996</v>
      </c>
      <c r="O462" s="712">
        <v>52500</v>
      </c>
      <c r="P462" s="712">
        <v>53057.829124077747</v>
      </c>
    </row>
    <row r="463" spans="1:16" hidden="1">
      <c r="A463" s="709" t="s">
        <v>400</v>
      </c>
      <c r="B463" s="709" t="s">
        <v>673</v>
      </c>
      <c r="C463" s="709" t="s">
        <v>1246</v>
      </c>
      <c r="D463" s="709" t="s">
        <v>1247</v>
      </c>
      <c r="E463" s="709" t="s">
        <v>1248</v>
      </c>
      <c r="F463" s="709" t="s">
        <v>1249</v>
      </c>
      <c r="G463" s="709" t="s">
        <v>1070</v>
      </c>
      <c r="H463" s="709">
        <v>5009</v>
      </c>
      <c r="I463" s="709" t="s">
        <v>991</v>
      </c>
      <c r="J463" s="709">
        <v>63300033</v>
      </c>
      <c r="K463" s="709" t="s">
        <v>1276</v>
      </c>
      <c r="L463" s="712">
        <v>5678.0357513669214</v>
      </c>
      <c r="M463" s="712">
        <v>6000</v>
      </c>
      <c r="N463" s="712">
        <v>6000</v>
      </c>
      <c r="O463" s="712">
        <v>6000</v>
      </c>
      <c r="P463" s="712">
        <v>6063.7518998945998</v>
      </c>
    </row>
    <row r="464" spans="1:16" hidden="1">
      <c r="A464" s="709" t="s">
        <v>541</v>
      </c>
      <c r="B464" s="709" t="s">
        <v>673</v>
      </c>
      <c r="C464" s="709" t="s">
        <v>1060</v>
      </c>
      <c r="D464" s="709" t="s">
        <v>1061</v>
      </c>
      <c r="E464" s="709" t="s">
        <v>1062</v>
      </c>
      <c r="F464" s="709" t="s">
        <v>1063</v>
      </c>
      <c r="G464" s="709" t="s">
        <v>1070</v>
      </c>
      <c r="H464" s="709">
        <v>5009</v>
      </c>
      <c r="I464" s="709" t="s">
        <v>991</v>
      </c>
      <c r="J464" s="709">
        <v>63300033</v>
      </c>
      <c r="K464" s="709" t="s">
        <v>1276</v>
      </c>
      <c r="L464" s="712">
        <v>55871.871793450511</v>
      </c>
      <c r="M464" s="712">
        <v>59040</v>
      </c>
      <c r="N464" s="712">
        <v>124726</v>
      </c>
      <c r="O464" s="712">
        <v>124726</v>
      </c>
      <c r="P464" s="712">
        <v>126051.25324437564</v>
      </c>
    </row>
    <row r="465" spans="1:16" hidden="1">
      <c r="A465" s="709" t="s">
        <v>397</v>
      </c>
      <c r="B465" s="709" t="s">
        <v>1064</v>
      </c>
      <c r="C465" s="709" t="s">
        <v>1065</v>
      </c>
      <c r="D465" s="709" t="s">
        <v>1066</v>
      </c>
      <c r="E465" s="709" t="s">
        <v>1067</v>
      </c>
      <c r="F465" s="709" t="s">
        <v>1068</v>
      </c>
      <c r="G465" s="709" t="s">
        <v>1070</v>
      </c>
      <c r="H465" s="709">
        <v>5008</v>
      </c>
      <c r="I465" s="709" t="s">
        <v>1069</v>
      </c>
      <c r="J465" s="709">
        <v>63300033</v>
      </c>
      <c r="K465" s="709" t="s">
        <v>1276</v>
      </c>
      <c r="L465" s="712">
        <v>936.73772099495261</v>
      </c>
      <c r="M465" s="712">
        <v>989.85398685041082</v>
      </c>
      <c r="N465" s="712">
        <v>989.85398685041082</v>
      </c>
      <c r="O465" s="712">
        <v>989.85398685041082</v>
      </c>
      <c r="P465" s="712">
        <v>1000.3714988970704</v>
      </c>
    </row>
    <row r="466" spans="1:16" hidden="1">
      <c r="A466" s="709" t="s">
        <v>133</v>
      </c>
      <c r="B466" s="709" t="s">
        <v>662</v>
      </c>
      <c r="C466" s="709" t="s">
        <v>1072</v>
      </c>
      <c r="D466" s="709" t="s">
        <v>1073</v>
      </c>
      <c r="E466" s="709" t="s">
        <v>1074</v>
      </c>
      <c r="F466" s="709" t="s">
        <v>1075</v>
      </c>
      <c r="G466" s="709" t="s">
        <v>1070</v>
      </c>
      <c r="H466" s="709">
        <v>5327</v>
      </c>
      <c r="I466" s="709" t="s">
        <v>754</v>
      </c>
      <c r="J466" s="709">
        <v>63300150</v>
      </c>
      <c r="K466" s="709" t="s">
        <v>1281</v>
      </c>
      <c r="L466" s="712">
        <v>19644.11102114576</v>
      </c>
      <c r="M466" s="712">
        <v>20758</v>
      </c>
      <c r="N466" s="712">
        <v>21068</v>
      </c>
      <c r="O466" s="712">
        <v>21384</v>
      </c>
      <c r="P466" s="712">
        <v>21611.211771224353</v>
      </c>
    </row>
    <row r="467" spans="1:16" hidden="1">
      <c r="A467" s="709" t="s">
        <v>133</v>
      </c>
      <c r="B467" s="709" t="s">
        <v>662</v>
      </c>
      <c r="C467" s="709" t="s">
        <v>749</v>
      </c>
      <c r="D467" s="709" t="s">
        <v>750</v>
      </c>
      <c r="E467" s="709" t="s">
        <v>751</v>
      </c>
      <c r="F467" s="709" t="s">
        <v>752</v>
      </c>
      <c r="G467" s="709" t="s">
        <v>1070</v>
      </c>
      <c r="H467" s="709">
        <v>5327</v>
      </c>
      <c r="I467" s="709" t="s">
        <v>754</v>
      </c>
      <c r="J467" s="709">
        <v>63300150</v>
      </c>
      <c r="K467" s="709" t="s">
        <v>1281</v>
      </c>
      <c r="L467" s="712">
        <v>220917.22965701661</v>
      </c>
      <c r="M467" s="712">
        <v>233444</v>
      </c>
      <c r="N467" s="712">
        <v>246655</v>
      </c>
      <c r="O467" s="712">
        <v>251194</v>
      </c>
      <c r="P467" s="712">
        <v>253863.01579035402</v>
      </c>
    </row>
    <row r="468" spans="1:16" hidden="1">
      <c r="A468" s="709" t="s">
        <v>133</v>
      </c>
      <c r="B468" s="709" t="s">
        <v>662</v>
      </c>
      <c r="C468" s="709" t="s">
        <v>756</v>
      </c>
      <c r="D468" s="709" t="s">
        <v>757</v>
      </c>
      <c r="E468" s="709" t="s">
        <v>758</v>
      </c>
      <c r="F468" s="709" t="s">
        <v>759</v>
      </c>
      <c r="G468" s="709" t="s">
        <v>1070</v>
      </c>
      <c r="H468" s="709">
        <v>5327</v>
      </c>
      <c r="I468" s="709" t="s">
        <v>754</v>
      </c>
      <c r="J468" s="709">
        <v>63300150</v>
      </c>
      <c r="K468" s="709" t="s">
        <v>1281</v>
      </c>
      <c r="L468" s="712">
        <v>93151.015519050023</v>
      </c>
      <c r="M468" s="712">
        <v>98432.999999999985</v>
      </c>
      <c r="N468" s="712">
        <v>99916.999999999985</v>
      </c>
      <c r="O468" s="712">
        <v>101413.99999999999</v>
      </c>
      <c r="P468" s="712">
        <v>102491.5558626518</v>
      </c>
    </row>
    <row r="469" spans="1:16" hidden="1">
      <c r="A469" s="709" t="s">
        <v>133</v>
      </c>
      <c r="B469" s="709" t="s">
        <v>662</v>
      </c>
      <c r="C469" s="709" t="s">
        <v>1114</v>
      </c>
      <c r="D469" s="709" t="s">
        <v>1115</v>
      </c>
      <c r="E469" s="709" t="s">
        <v>1116</v>
      </c>
      <c r="F469" s="709" t="s">
        <v>1117</v>
      </c>
      <c r="G469" s="709" t="s">
        <v>1070</v>
      </c>
      <c r="H469" s="709">
        <v>5327</v>
      </c>
      <c r="I469" s="709" t="s">
        <v>754</v>
      </c>
      <c r="J469" s="709">
        <v>63300150</v>
      </c>
      <c r="K469" s="709" t="s">
        <v>1281</v>
      </c>
      <c r="L469" s="712">
        <v>167234.24064571806</v>
      </c>
      <c r="M469" s="712">
        <v>176717</v>
      </c>
      <c r="N469" s="712">
        <v>178547</v>
      </c>
      <c r="O469" s="712">
        <v>176918</v>
      </c>
      <c r="P469" s="712">
        <v>178797.80977092547</v>
      </c>
    </row>
    <row r="470" spans="1:16" hidden="1">
      <c r="A470" s="709" t="s">
        <v>133</v>
      </c>
      <c r="B470" s="709" t="s">
        <v>662</v>
      </c>
      <c r="C470" s="709" t="s">
        <v>760</v>
      </c>
      <c r="D470" s="709" t="s">
        <v>761</v>
      </c>
      <c r="E470" s="709" t="s">
        <v>762</v>
      </c>
      <c r="F470" s="709" t="s">
        <v>763</v>
      </c>
      <c r="G470" s="709" t="s">
        <v>1070</v>
      </c>
      <c r="H470" s="709">
        <v>5327</v>
      </c>
      <c r="I470" s="709" t="s">
        <v>754</v>
      </c>
      <c r="J470" s="709">
        <v>63300150</v>
      </c>
      <c r="K470" s="709" t="s">
        <v>1281</v>
      </c>
      <c r="L470" s="712">
        <v>2839.0178756834607</v>
      </c>
      <c r="M470" s="712">
        <v>3000</v>
      </c>
      <c r="N470" s="712">
        <v>0</v>
      </c>
      <c r="O470" s="712">
        <v>3000</v>
      </c>
      <c r="P470" s="712">
        <v>3031.8759499472999</v>
      </c>
    </row>
    <row r="471" spans="1:16" hidden="1">
      <c r="A471" s="709" t="s">
        <v>126</v>
      </c>
      <c r="B471" s="709" t="s">
        <v>663</v>
      </c>
      <c r="C471" s="709" t="s">
        <v>1077</v>
      </c>
      <c r="D471" s="709" t="s">
        <v>1078</v>
      </c>
      <c r="E471" s="709" t="s">
        <v>1079</v>
      </c>
      <c r="F471" s="709" t="s">
        <v>1080</v>
      </c>
      <c r="G471" s="709" t="s">
        <v>1070</v>
      </c>
      <c r="H471" s="709">
        <v>5325</v>
      </c>
      <c r="I471" s="709" t="s">
        <v>768</v>
      </c>
      <c r="J471" s="709">
        <v>63300150</v>
      </c>
      <c r="K471" s="709" t="s">
        <v>1281</v>
      </c>
      <c r="L471" s="712">
        <v>3700.7837720630673</v>
      </c>
      <c r="M471" s="712">
        <v>3910.6310007000002</v>
      </c>
      <c r="N471" s="712">
        <v>4008.3967757999999</v>
      </c>
      <c r="O471" s="712">
        <v>4108.6066952000001</v>
      </c>
      <c r="P471" s="712">
        <v>4152.2619423231117</v>
      </c>
    </row>
    <row r="472" spans="1:16" hidden="1">
      <c r="A472" s="709" t="s">
        <v>126</v>
      </c>
      <c r="B472" s="709" t="s">
        <v>663</v>
      </c>
      <c r="C472" s="709" t="s">
        <v>1081</v>
      </c>
      <c r="D472" s="709" t="s">
        <v>1082</v>
      </c>
      <c r="E472" s="709" t="s">
        <v>1083</v>
      </c>
      <c r="F472" s="709" t="s">
        <v>1084</v>
      </c>
      <c r="G472" s="709" t="s">
        <v>1070</v>
      </c>
      <c r="H472" s="709">
        <v>5325</v>
      </c>
      <c r="I472" s="709" t="s">
        <v>768</v>
      </c>
      <c r="J472" s="709">
        <v>63300150</v>
      </c>
      <c r="K472" s="709" t="s">
        <v>1281</v>
      </c>
      <c r="L472" s="712">
        <v>43953.455312662198</v>
      </c>
      <c r="M472" s="712">
        <v>46445.768118400003</v>
      </c>
      <c r="N472" s="712">
        <v>47606.913373000003</v>
      </c>
      <c r="O472" s="712">
        <v>48797.086207100001</v>
      </c>
      <c r="P472" s="712">
        <v>49315.570699603864</v>
      </c>
    </row>
    <row r="473" spans="1:16" hidden="1">
      <c r="A473" s="709" t="s">
        <v>126</v>
      </c>
      <c r="B473" s="709" t="s">
        <v>663</v>
      </c>
      <c r="C473" s="709" t="s">
        <v>764</v>
      </c>
      <c r="D473" s="709" t="s">
        <v>765</v>
      </c>
      <c r="E473" s="709" t="s">
        <v>766</v>
      </c>
      <c r="F473" s="709" t="s">
        <v>767</v>
      </c>
      <c r="G473" s="709" t="s">
        <v>1070</v>
      </c>
      <c r="H473" s="709">
        <v>5325</v>
      </c>
      <c r="I473" s="709" t="s">
        <v>768</v>
      </c>
      <c r="J473" s="709">
        <v>63300150</v>
      </c>
      <c r="K473" s="709" t="s">
        <v>1281</v>
      </c>
      <c r="L473" s="712">
        <v>46695.341225402473</v>
      </c>
      <c r="M473" s="712">
        <v>49343.128437500003</v>
      </c>
      <c r="N473" s="712">
        <v>50576.706648500003</v>
      </c>
      <c r="O473" s="712">
        <v>51841.124314499997</v>
      </c>
      <c r="P473" s="712">
        <v>52391.952675786917</v>
      </c>
    </row>
    <row r="474" spans="1:16" hidden="1">
      <c r="A474" s="709" t="s">
        <v>126</v>
      </c>
      <c r="B474" s="709" t="s">
        <v>663</v>
      </c>
      <c r="C474" s="709" t="s">
        <v>1122</v>
      </c>
      <c r="D474" s="709" t="s">
        <v>1123</v>
      </c>
      <c r="E474" s="709" t="s">
        <v>1124</v>
      </c>
      <c r="F474" s="709" t="s">
        <v>1125</v>
      </c>
      <c r="G474" s="709" t="s">
        <v>1070</v>
      </c>
      <c r="H474" s="709">
        <v>5325</v>
      </c>
      <c r="I474" s="709" t="s">
        <v>768</v>
      </c>
      <c r="J474" s="709">
        <v>63300150</v>
      </c>
      <c r="K474" s="709" t="s">
        <v>1281</v>
      </c>
      <c r="L474" s="712">
        <v>69141.288314991034</v>
      </c>
      <c r="M474" s="712">
        <v>73061.838293299996</v>
      </c>
      <c r="N474" s="712">
        <v>79300.384250699994</v>
      </c>
      <c r="O474" s="712">
        <v>76760.593856799998</v>
      </c>
      <c r="P474" s="712">
        <v>77576.199472701453</v>
      </c>
    </row>
    <row r="475" spans="1:16" hidden="1">
      <c r="A475" s="709" t="s">
        <v>126</v>
      </c>
      <c r="B475" s="709" t="s">
        <v>663</v>
      </c>
      <c r="C475" s="709" t="s">
        <v>769</v>
      </c>
      <c r="D475" s="709" t="s">
        <v>770</v>
      </c>
      <c r="E475" s="709" t="s">
        <v>771</v>
      </c>
      <c r="F475" s="709" t="s">
        <v>772</v>
      </c>
      <c r="G475" s="709" t="s">
        <v>1070</v>
      </c>
      <c r="H475" s="709">
        <v>5325</v>
      </c>
      <c r="I475" s="709" t="s">
        <v>768</v>
      </c>
      <c r="J475" s="709">
        <v>63300150</v>
      </c>
      <c r="K475" s="709" t="s">
        <v>1281</v>
      </c>
      <c r="L475" s="712">
        <v>1295.0930469008133</v>
      </c>
      <c r="M475" s="712">
        <v>1368.5292981</v>
      </c>
      <c r="N475" s="712">
        <v>1402.7425304999999</v>
      </c>
      <c r="O475" s="712">
        <v>1437.8110938</v>
      </c>
      <c r="P475" s="712">
        <v>1453.0882919532137</v>
      </c>
    </row>
    <row r="476" spans="1:16" hidden="1">
      <c r="A476" s="709" t="s">
        <v>126</v>
      </c>
      <c r="B476" s="709" t="s">
        <v>663</v>
      </c>
      <c r="C476" s="709" t="s">
        <v>1282</v>
      </c>
      <c r="D476" s="709" t="s">
        <v>1283</v>
      </c>
      <c r="E476" s="709" t="s">
        <v>1284</v>
      </c>
      <c r="F476" s="709" t="s">
        <v>1285</v>
      </c>
      <c r="G476" s="709" t="s">
        <v>1070</v>
      </c>
      <c r="H476" s="709">
        <v>5325</v>
      </c>
      <c r="I476" s="709" t="s">
        <v>768</v>
      </c>
      <c r="J476" s="709">
        <v>63300150</v>
      </c>
      <c r="K476" s="709" t="s">
        <v>1281</v>
      </c>
      <c r="L476" s="712">
        <v>199610.98633627183</v>
      </c>
      <c r="M476" s="712">
        <v>210929.61905519999</v>
      </c>
      <c r="N476" s="712">
        <v>216202.8595312</v>
      </c>
      <c r="O476" s="712">
        <v>221607.93101959999</v>
      </c>
      <c r="P476" s="712">
        <v>223962.58545863512</v>
      </c>
    </row>
    <row r="477" spans="1:16" hidden="1">
      <c r="A477" s="709" t="s">
        <v>127</v>
      </c>
      <c r="B477" s="709" t="s">
        <v>663</v>
      </c>
      <c r="C477" s="709" t="s">
        <v>1085</v>
      </c>
      <c r="D477" s="709" t="s">
        <v>1086</v>
      </c>
      <c r="E477" s="709" t="s">
        <v>1087</v>
      </c>
      <c r="F477" s="709" t="s">
        <v>1088</v>
      </c>
      <c r="G477" s="709" t="s">
        <v>1070</v>
      </c>
      <c r="H477" s="709">
        <v>5325</v>
      </c>
      <c r="I477" s="709" t="s">
        <v>768</v>
      </c>
      <c r="J477" s="709">
        <v>63300150</v>
      </c>
      <c r="K477" s="709" t="s">
        <v>1281</v>
      </c>
      <c r="L477" s="712">
        <v>2801.9119120482778</v>
      </c>
      <c r="M477" s="712">
        <v>2960.79</v>
      </c>
      <c r="N477" s="712">
        <v>3034.81</v>
      </c>
      <c r="O477" s="712">
        <v>3110.68</v>
      </c>
      <c r="P477" s="712">
        <v>3143.731959994022</v>
      </c>
    </row>
    <row r="478" spans="1:16" hidden="1">
      <c r="A478" s="709" t="s">
        <v>127</v>
      </c>
      <c r="B478" s="709" t="s">
        <v>663</v>
      </c>
      <c r="C478" s="709" t="s">
        <v>1089</v>
      </c>
      <c r="D478" s="709" t="s">
        <v>1090</v>
      </c>
      <c r="E478" s="709" t="s">
        <v>1091</v>
      </c>
      <c r="F478" s="709" t="s">
        <v>1092</v>
      </c>
      <c r="G478" s="709" t="s">
        <v>1070</v>
      </c>
      <c r="H478" s="709">
        <v>5325</v>
      </c>
      <c r="I478" s="709" t="s">
        <v>768</v>
      </c>
      <c r="J478" s="709">
        <v>63300150</v>
      </c>
      <c r="K478" s="709" t="s">
        <v>1281</v>
      </c>
      <c r="L478" s="712">
        <v>83609.360340665487</v>
      </c>
      <c r="M478" s="712">
        <v>88350.3</v>
      </c>
      <c r="N478" s="712">
        <v>90559.1</v>
      </c>
      <c r="O478" s="712">
        <v>92823.07</v>
      </c>
      <c r="P478" s="712">
        <v>93809.344511091578</v>
      </c>
    </row>
    <row r="479" spans="1:16" hidden="1">
      <c r="A479" s="709" t="s">
        <v>127</v>
      </c>
      <c r="B479" s="709" t="s">
        <v>663</v>
      </c>
      <c r="C479" s="709" t="s">
        <v>773</v>
      </c>
      <c r="D479" s="709" t="s">
        <v>774</v>
      </c>
      <c r="E479" s="709" t="s">
        <v>775</v>
      </c>
      <c r="F479" s="709" t="s">
        <v>776</v>
      </c>
      <c r="G479" s="709" t="s">
        <v>1070</v>
      </c>
      <c r="H479" s="709">
        <v>5325</v>
      </c>
      <c r="I479" s="709" t="s">
        <v>768</v>
      </c>
      <c r="J479" s="709">
        <v>63300150</v>
      </c>
      <c r="K479" s="709" t="s">
        <v>1281</v>
      </c>
      <c r="L479" s="712">
        <v>87017.170053608177</v>
      </c>
      <c r="M479" s="712">
        <v>91951.344300000012</v>
      </c>
      <c r="N479" s="712">
        <v>94250.136050300018</v>
      </c>
      <c r="O479" s="712">
        <v>96606.379613400015</v>
      </c>
      <c r="P479" s="712">
        <v>97632.852987115548</v>
      </c>
    </row>
    <row r="480" spans="1:16" hidden="1">
      <c r="A480" s="709" t="s">
        <v>127</v>
      </c>
      <c r="B480" s="709" t="s">
        <v>663</v>
      </c>
      <c r="C480" s="709" t="s">
        <v>1130</v>
      </c>
      <c r="D480" s="709" t="s">
        <v>1131</v>
      </c>
      <c r="E480" s="709" t="s">
        <v>1132</v>
      </c>
      <c r="F480" s="709" t="s">
        <v>1133</v>
      </c>
      <c r="G480" s="709" t="s">
        <v>1070</v>
      </c>
      <c r="H480" s="709">
        <v>5325</v>
      </c>
      <c r="I480" s="709" t="s">
        <v>768</v>
      </c>
      <c r="J480" s="709">
        <v>63300150</v>
      </c>
      <c r="K480" s="709" t="s">
        <v>1281</v>
      </c>
      <c r="L480" s="712">
        <v>145242.3280851325</v>
      </c>
      <c r="M480" s="712">
        <v>153478.07</v>
      </c>
      <c r="N480" s="712">
        <v>157315.01</v>
      </c>
      <c r="O480" s="712">
        <v>161247.91</v>
      </c>
      <c r="P480" s="712">
        <v>162961.22010275559</v>
      </c>
    </row>
    <row r="481" spans="1:16" hidden="1">
      <c r="A481" s="709" t="s">
        <v>127</v>
      </c>
      <c r="B481" s="709" t="s">
        <v>663</v>
      </c>
      <c r="C481" s="709" t="s">
        <v>1093</v>
      </c>
      <c r="D481" s="709" t="s">
        <v>1094</v>
      </c>
      <c r="E481" s="709" t="s">
        <v>1095</v>
      </c>
      <c r="F481" s="709" t="s">
        <v>1096</v>
      </c>
      <c r="G481" s="709" t="s">
        <v>1070</v>
      </c>
      <c r="H481" s="709">
        <v>5325</v>
      </c>
      <c r="I481" s="709" t="s">
        <v>768</v>
      </c>
      <c r="J481" s="709">
        <v>63300150</v>
      </c>
      <c r="K481" s="709" t="s">
        <v>1281</v>
      </c>
      <c r="L481" s="712">
        <v>98.959002533428489</v>
      </c>
      <c r="M481" s="712">
        <v>104.57031994869554</v>
      </c>
      <c r="N481" s="712">
        <v>107.270199978636</v>
      </c>
      <c r="O481" s="712">
        <v>110.040162000843</v>
      </c>
      <c r="P481" s="712">
        <v>111.20937356622021</v>
      </c>
    </row>
    <row r="482" spans="1:16" hidden="1">
      <c r="A482" s="709" t="s">
        <v>127</v>
      </c>
      <c r="B482" s="709" t="s">
        <v>663</v>
      </c>
      <c r="C482" s="709" t="s">
        <v>777</v>
      </c>
      <c r="D482" s="709" t="s">
        <v>778</v>
      </c>
      <c r="E482" s="709" t="s">
        <v>779</v>
      </c>
      <c r="F482" s="709" t="s">
        <v>780</v>
      </c>
      <c r="G482" s="709" t="s">
        <v>1070</v>
      </c>
      <c r="H482" s="709">
        <v>5325</v>
      </c>
      <c r="I482" s="709" t="s">
        <v>768</v>
      </c>
      <c r="J482" s="709">
        <v>63300150</v>
      </c>
      <c r="K482" s="709" t="s">
        <v>1281</v>
      </c>
      <c r="L482" s="712">
        <v>8442.1603354898543</v>
      </c>
      <c r="M482" s="712">
        <v>8920.86</v>
      </c>
      <c r="N482" s="712">
        <v>11343.88</v>
      </c>
      <c r="O482" s="712">
        <v>9372.48</v>
      </c>
      <c r="P482" s="712">
        <v>9472.0655677873565</v>
      </c>
    </row>
    <row r="483" spans="1:16" hidden="1">
      <c r="A483" s="709" t="s">
        <v>406</v>
      </c>
      <c r="B483" s="709" t="s">
        <v>664</v>
      </c>
      <c r="C483" s="709" t="s">
        <v>1134</v>
      </c>
      <c r="D483" s="709" t="s">
        <v>1135</v>
      </c>
      <c r="E483" s="709" t="s">
        <v>1136</v>
      </c>
      <c r="F483" s="709" t="s">
        <v>1137</v>
      </c>
      <c r="G483" s="709" t="s">
        <v>1070</v>
      </c>
      <c r="H483" s="709">
        <v>5240</v>
      </c>
      <c r="I483" s="709" t="s">
        <v>785</v>
      </c>
      <c r="J483" s="709">
        <v>63300150</v>
      </c>
      <c r="K483" s="709" t="s">
        <v>1281</v>
      </c>
      <c r="L483" s="712">
        <v>93801.150612581521</v>
      </c>
      <c r="M483" s="712">
        <v>99119.999999999971</v>
      </c>
      <c r="N483" s="712">
        <v>163119.99999999994</v>
      </c>
      <c r="O483" s="712">
        <v>111119.99999999996</v>
      </c>
      <c r="P483" s="712">
        <v>112300.68518604794</v>
      </c>
    </row>
    <row r="484" spans="1:16" hidden="1">
      <c r="A484" s="709" t="s">
        <v>406</v>
      </c>
      <c r="B484" s="709" t="s">
        <v>664</v>
      </c>
      <c r="C484" s="709" t="s">
        <v>781</v>
      </c>
      <c r="D484" s="709" t="s">
        <v>782</v>
      </c>
      <c r="E484" s="709" t="s">
        <v>783</v>
      </c>
      <c r="F484" s="709" t="s">
        <v>784</v>
      </c>
      <c r="G484" s="709" t="s">
        <v>1070</v>
      </c>
      <c r="H484" s="709">
        <v>5240</v>
      </c>
      <c r="I484" s="709" t="s">
        <v>785</v>
      </c>
      <c r="J484" s="709">
        <v>63300150</v>
      </c>
      <c r="K484" s="709" t="s">
        <v>1281</v>
      </c>
      <c r="L484" s="712">
        <v>155178.82440627427</v>
      </c>
      <c r="M484" s="712">
        <v>163978.00000000009</v>
      </c>
      <c r="N484" s="712">
        <v>163978.00000000009</v>
      </c>
      <c r="O484" s="712">
        <v>163978.00000000009</v>
      </c>
      <c r="P484" s="712">
        <v>165720.31817348619</v>
      </c>
    </row>
    <row r="485" spans="1:16" hidden="1">
      <c r="A485" s="709" t="s">
        <v>406</v>
      </c>
      <c r="B485" s="709" t="s">
        <v>664</v>
      </c>
      <c r="C485" s="709" t="s">
        <v>786</v>
      </c>
      <c r="D485" s="709" t="s">
        <v>787</v>
      </c>
      <c r="E485" s="709" t="s">
        <v>788</v>
      </c>
      <c r="F485" s="709" t="s">
        <v>789</v>
      </c>
      <c r="G485" s="709" t="s">
        <v>1070</v>
      </c>
      <c r="H485" s="709">
        <v>5240</v>
      </c>
      <c r="I485" s="709" t="s">
        <v>785</v>
      </c>
      <c r="J485" s="709">
        <v>63300150</v>
      </c>
      <c r="K485" s="709" t="s">
        <v>1281</v>
      </c>
      <c r="L485" s="712">
        <v>135314.21633011702</v>
      </c>
      <c r="M485" s="712">
        <v>142987.00000000003</v>
      </c>
      <c r="N485" s="712">
        <v>142987.00000000003</v>
      </c>
      <c r="O485" s="712">
        <v>182987.00000000003</v>
      </c>
      <c r="P485" s="712">
        <v>184931.29481766888</v>
      </c>
    </row>
    <row r="486" spans="1:16" hidden="1">
      <c r="A486" s="709" t="s">
        <v>406</v>
      </c>
      <c r="B486" s="709" t="s">
        <v>664</v>
      </c>
      <c r="C486" s="709" t="s">
        <v>790</v>
      </c>
      <c r="D486" s="709" t="s">
        <v>791</v>
      </c>
      <c r="E486" s="709" t="s">
        <v>792</v>
      </c>
      <c r="F486" s="709" t="s">
        <v>793</v>
      </c>
      <c r="G486" s="709" t="s">
        <v>1070</v>
      </c>
      <c r="H486" s="709">
        <v>5240</v>
      </c>
      <c r="I486" s="709" t="s">
        <v>785</v>
      </c>
      <c r="J486" s="709">
        <v>63300150</v>
      </c>
      <c r="K486" s="709" t="s">
        <v>1281</v>
      </c>
      <c r="L486" s="712">
        <v>7458.0999594204513</v>
      </c>
      <c r="M486" s="712">
        <v>7881</v>
      </c>
      <c r="N486" s="712">
        <v>7881</v>
      </c>
      <c r="O486" s="712">
        <v>7881</v>
      </c>
      <c r="P486" s="712">
        <v>7964.7381205115562</v>
      </c>
    </row>
    <row r="487" spans="1:16" hidden="1">
      <c r="A487" s="709" t="s">
        <v>406</v>
      </c>
      <c r="B487" s="709" t="s">
        <v>664</v>
      </c>
      <c r="C487" s="709" t="s">
        <v>794</v>
      </c>
      <c r="D487" s="709" t="s">
        <v>795</v>
      </c>
      <c r="E487" s="709" t="s">
        <v>796</v>
      </c>
      <c r="F487" s="709" t="s">
        <v>797</v>
      </c>
      <c r="G487" s="709" t="s">
        <v>1070</v>
      </c>
      <c r="H487" s="709">
        <v>5240</v>
      </c>
      <c r="I487" s="709" t="s">
        <v>785</v>
      </c>
      <c r="J487" s="709">
        <v>63300150</v>
      </c>
      <c r="K487" s="709" t="s">
        <v>1281</v>
      </c>
      <c r="L487" s="712">
        <v>215830.65596308376</v>
      </c>
      <c r="M487" s="712">
        <v>228069</v>
      </c>
      <c r="N487" s="712">
        <v>228069</v>
      </c>
      <c r="O487" s="712">
        <v>228069</v>
      </c>
      <c r="P487" s="712">
        <v>230492.30534284358</v>
      </c>
    </row>
    <row r="488" spans="1:16" hidden="1">
      <c r="A488" s="709" t="s">
        <v>406</v>
      </c>
      <c r="B488" s="709" t="s">
        <v>664</v>
      </c>
      <c r="C488" s="709" t="s">
        <v>798</v>
      </c>
      <c r="D488" s="709" t="s">
        <v>799</v>
      </c>
      <c r="E488" s="709" t="s">
        <v>800</v>
      </c>
      <c r="F488" s="709" t="s">
        <v>801</v>
      </c>
      <c r="G488" s="709" t="s">
        <v>1070</v>
      </c>
      <c r="H488" s="709">
        <v>5240</v>
      </c>
      <c r="I488" s="709" t="s">
        <v>785</v>
      </c>
      <c r="J488" s="709">
        <v>63300150</v>
      </c>
      <c r="K488" s="709" t="s">
        <v>1281</v>
      </c>
      <c r="L488" s="712">
        <v>20734.293885408206</v>
      </c>
      <c r="M488" s="712">
        <v>21909.999999999996</v>
      </c>
      <c r="N488" s="712">
        <v>21909.999999999996</v>
      </c>
      <c r="O488" s="712">
        <v>21909.999999999996</v>
      </c>
      <c r="P488" s="712">
        <v>22142.800687781775</v>
      </c>
    </row>
    <row r="489" spans="1:16" hidden="1">
      <c r="A489" s="709" t="s">
        <v>593</v>
      </c>
      <c r="B489" s="709" t="s">
        <v>665</v>
      </c>
      <c r="C489" s="709" t="s">
        <v>802</v>
      </c>
      <c r="D489" s="709" t="s">
        <v>803</v>
      </c>
      <c r="E489" s="709" t="s">
        <v>804</v>
      </c>
      <c r="F489" s="709" t="s">
        <v>805</v>
      </c>
      <c r="G489" s="709" t="s">
        <v>1070</v>
      </c>
      <c r="H489" s="709">
        <v>5150</v>
      </c>
      <c r="I489" s="709" t="s">
        <v>806</v>
      </c>
      <c r="J489" s="709">
        <v>63300150</v>
      </c>
      <c r="K489" s="709" t="s">
        <v>1281</v>
      </c>
      <c r="L489" s="712">
        <v>212200.49843937656</v>
      </c>
      <c r="M489" s="712">
        <v>224233.00000000006</v>
      </c>
      <c r="N489" s="712">
        <v>226249.00000000006</v>
      </c>
      <c r="O489" s="712">
        <v>228349.00000000006</v>
      </c>
      <c r="P489" s="712">
        <v>230775.28043150538</v>
      </c>
    </row>
    <row r="490" spans="1:16" hidden="1">
      <c r="A490" s="709" t="s">
        <v>593</v>
      </c>
      <c r="B490" s="709" t="s">
        <v>665</v>
      </c>
      <c r="C490" s="709" t="s">
        <v>807</v>
      </c>
      <c r="D490" s="709" t="s">
        <v>808</v>
      </c>
      <c r="E490" s="709" t="s">
        <v>809</v>
      </c>
      <c r="F490" s="709" t="s">
        <v>810</v>
      </c>
      <c r="G490" s="709" t="s">
        <v>1070</v>
      </c>
      <c r="H490" s="709">
        <v>5150</v>
      </c>
      <c r="I490" s="709" t="s">
        <v>806</v>
      </c>
      <c r="J490" s="709">
        <v>63300150</v>
      </c>
      <c r="K490" s="709" t="s">
        <v>1281</v>
      </c>
      <c r="L490" s="712">
        <v>9266.5543462308178</v>
      </c>
      <c r="M490" s="712">
        <v>9792.0000000000018</v>
      </c>
      <c r="N490" s="712">
        <v>9792.0000000000018</v>
      </c>
      <c r="O490" s="712">
        <v>9792.0000000000018</v>
      </c>
      <c r="P490" s="712">
        <v>9896.0431006279887</v>
      </c>
    </row>
    <row r="491" spans="1:16" hidden="1">
      <c r="A491" s="709" t="s">
        <v>593</v>
      </c>
      <c r="B491" s="709" t="s">
        <v>665</v>
      </c>
      <c r="C491" s="709" t="s">
        <v>811</v>
      </c>
      <c r="D491" s="709" t="s">
        <v>812</v>
      </c>
      <c r="E491" s="709" t="s">
        <v>813</v>
      </c>
      <c r="F491" s="709" t="s">
        <v>814</v>
      </c>
      <c r="G491" s="709" t="s">
        <v>1070</v>
      </c>
      <c r="H491" s="709">
        <v>5150</v>
      </c>
      <c r="I491" s="709" t="s">
        <v>806</v>
      </c>
      <c r="J491" s="709">
        <v>63300150</v>
      </c>
      <c r="K491" s="709" t="s">
        <v>1281</v>
      </c>
      <c r="L491" s="712">
        <v>681091.74444796576</v>
      </c>
      <c r="M491" s="712">
        <v>719712.00000000081</v>
      </c>
      <c r="N491" s="712">
        <v>93348.000000000102</v>
      </c>
      <c r="O491" s="712">
        <v>258948.00000000029</v>
      </c>
      <c r="P491" s="712">
        <v>261699.40449565143</v>
      </c>
    </row>
    <row r="492" spans="1:16" hidden="1">
      <c r="A492" s="709" t="s">
        <v>593</v>
      </c>
      <c r="B492" s="709" t="s">
        <v>665</v>
      </c>
      <c r="C492" s="709" t="s">
        <v>815</v>
      </c>
      <c r="D492" s="709" t="s">
        <v>816</v>
      </c>
      <c r="E492" s="709" t="s">
        <v>817</v>
      </c>
      <c r="F492" s="709" t="s">
        <v>818</v>
      </c>
      <c r="G492" s="709" t="s">
        <v>1070</v>
      </c>
      <c r="H492" s="709">
        <v>5150</v>
      </c>
      <c r="I492" s="709" t="s">
        <v>806</v>
      </c>
      <c r="J492" s="709">
        <v>63300150</v>
      </c>
      <c r="K492" s="709" t="s">
        <v>1281</v>
      </c>
      <c r="L492" s="712">
        <v>260492.19250475211</v>
      </c>
      <c r="M492" s="712">
        <v>275262.99999999994</v>
      </c>
      <c r="N492" s="712">
        <v>191162.99999999997</v>
      </c>
      <c r="O492" s="712">
        <v>187182.99999999997</v>
      </c>
      <c r="P492" s="712">
        <v>189171.87864632843</v>
      </c>
    </row>
    <row r="493" spans="1:16" hidden="1">
      <c r="A493" s="709" t="s">
        <v>593</v>
      </c>
      <c r="B493" s="709" t="s">
        <v>665</v>
      </c>
      <c r="C493" s="709" t="s">
        <v>819</v>
      </c>
      <c r="D493" s="709" t="s">
        <v>820</v>
      </c>
      <c r="E493" s="709" t="s">
        <v>821</v>
      </c>
      <c r="F493" s="709" t="s">
        <v>822</v>
      </c>
      <c r="G493" s="709" t="s">
        <v>1070</v>
      </c>
      <c r="H493" s="709">
        <v>5150</v>
      </c>
      <c r="I493" s="709" t="s">
        <v>806</v>
      </c>
      <c r="J493" s="709">
        <v>63300150</v>
      </c>
      <c r="K493" s="709" t="s">
        <v>1281</v>
      </c>
      <c r="L493" s="712">
        <v>356769.91304422164</v>
      </c>
      <c r="M493" s="712">
        <v>377000.00000000006</v>
      </c>
      <c r="N493" s="712">
        <v>386300.00000000006</v>
      </c>
      <c r="O493" s="712">
        <v>394760.00000000012</v>
      </c>
      <c r="P493" s="712">
        <v>398954.45000039879</v>
      </c>
    </row>
    <row r="494" spans="1:16" hidden="1">
      <c r="A494" s="709" t="s">
        <v>593</v>
      </c>
      <c r="B494" s="709" t="s">
        <v>666</v>
      </c>
      <c r="C494" s="709" t="s">
        <v>823</v>
      </c>
      <c r="D494" s="709" t="s">
        <v>824</v>
      </c>
      <c r="E494" s="709" t="s">
        <v>825</v>
      </c>
      <c r="F494" s="709" t="s">
        <v>826</v>
      </c>
      <c r="G494" s="709" t="s">
        <v>1070</v>
      </c>
      <c r="H494" s="709">
        <v>5031</v>
      </c>
      <c r="I494" s="709" t="s">
        <v>827</v>
      </c>
      <c r="J494" s="709">
        <v>63300150</v>
      </c>
      <c r="K494" s="709" t="s">
        <v>1281</v>
      </c>
      <c r="L494" s="712">
        <v>255511.60881151148</v>
      </c>
      <c r="M494" s="712">
        <v>270000</v>
      </c>
      <c r="N494" s="712">
        <v>280000</v>
      </c>
      <c r="O494" s="712">
        <v>200000</v>
      </c>
      <c r="P494" s="712">
        <v>202125.06332982</v>
      </c>
    </row>
    <row r="495" spans="1:16" hidden="1">
      <c r="A495" s="709" t="s">
        <v>593</v>
      </c>
      <c r="B495" s="709" t="s">
        <v>666</v>
      </c>
      <c r="C495" s="709" t="s">
        <v>832</v>
      </c>
      <c r="D495" s="709" t="s">
        <v>833</v>
      </c>
      <c r="E495" s="709" t="s">
        <v>834</v>
      </c>
      <c r="F495" s="709" t="s">
        <v>835</v>
      </c>
      <c r="G495" s="709" t="s">
        <v>1070</v>
      </c>
      <c r="H495" s="709">
        <v>5031</v>
      </c>
      <c r="I495" s="709" t="s">
        <v>827</v>
      </c>
      <c r="J495" s="709">
        <v>63300150</v>
      </c>
      <c r="K495" s="709" t="s">
        <v>1281</v>
      </c>
      <c r="L495" s="712">
        <v>96242.705985669323</v>
      </c>
      <c r="M495" s="712">
        <v>101700</v>
      </c>
      <c r="N495" s="712">
        <v>101700</v>
      </c>
      <c r="O495" s="712">
        <v>101700</v>
      </c>
      <c r="P495" s="712">
        <v>102780.59470321346</v>
      </c>
    </row>
    <row r="496" spans="1:16" hidden="1">
      <c r="A496" s="709" t="s">
        <v>398</v>
      </c>
      <c r="B496" s="709" t="s">
        <v>667</v>
      </c>
      <c r="C496" s="709" t="s">
        <v>836</v>
      </c>
      <c r="D496" s="709" t="s">
        <v>837</v>
      </c>
      <c r="E496" s="709" t="s">
        <v>838</v>
      </c>
      <c r="F496" s="709" t="s">
        <v>839</v>
      </c>
      <c r="G496" s="709" t="s">
        <v>1070</v>
      </c>
      <c r="H496" s="709">
        <v>5025</v>
      </c>
      <c r="I496" s="709" t="s">
        <v>840</v>
      </c>
      <c r="J496" s="709">
        <v>63300150</v>
      </c>
      <c r="K496" s="709" t="s">
        <v>1281</v>
      </c>
      <c r="L496" s="712">
        <v>117326.1990697866</v>
      </c>
      <c r="M496" s="712">
        <v>123979</v>
      </c>
      <c r="N496" s="712">
        <v>127698</v>
      </c>
      <c r="O496" s="712">
        <v>131529</v>
      </c>
      <c r="P496" s="712">
        <v>132926.53727353946</v>
      </c>
    </row>
    <row r="497" spans="1:16" hidden="1">
      <c r="A497" s="709" t="s">
        <v>398</v>
      </c>
      <c r="B497" s="709" t="s">
        <v>667</v>
      </c>
      <c r="C497" s="709" t="s">
        <v>841</v>
      </c>
      <c r="D497" s="709" t="s">
        <v>842</v>
      </c>
      <c r="E497" s="709" t="s">
        <v>843</v>
      </c>
      <c r="F497" s="709" t="s">
        <v>844</v>
      </c>
      <c r="G497" s="709" t="s">
        <v>1070</v>
      </c>
      <c r="H497" s="709">
        <v>5025</v>
      </c>
      <c r="I497" s="709" t="s">
        <v>840</v>
      </c>
      <c r="J497" s="709">
        <v>63300150</v>
      </c>
      <c r="K497" s="709" t="s">
        <v>1281</v>
      </c>
      <c r="L497" s="712">
        <v>25426.244094621081</v>
      </c>
      <c r="M497" s="712">
        <v>26868.000000000007</v>
      </c>
      <c r="N497" s="712">
        <v>26868.000000000007</v>
      </c>
      <c r="O497" s="712">
        <v>26868.000000000007</v>
      </c>
      <c r="P497" s="712">
        <v>27153.481007728024</v>
      </c>
    </row>
    <row r="498" spans="1:16" hidden="1">
      <c r="A498" s="709" t="s">
        <v>398</v>
      </c>
      <c r="B498" s="709" t="s">
        <v>667</v>
      </c>
      <c r="C498" s="709" t="s">
        <v>845</v>
      </c>
      <c r="D498" s="709" t="s">
        <v>846</v>
      </c>
      <c r="E498" s="709" t="s">
        <v>847</v>
      </c>
      <c r="F498" s="709" t="s">
        <v>848</v>
      </c>
      <c r="G498" s="709" t="s">
        <v>1070</v>
      </c>
      <c r="H498" s="709">
        <v>5025</v>
      </c>
      <c r="I498" s="709" t="s">
        <v>840</v>
      </c>
      <c r="J498" s="709">
        <v>63300150</v>
      </c>
      <c r="K498" s="709" t="s">
        <v>1281</v>
      </c>
      <c r="L498" s="712">
        <v>57827.652281223025</v>
      </c>
      <c r="M498" s="712">
        <v>61106.680000000015</v>
      </c>
      <c r="N498" s="712">
        <v>61106.680000000015</v>
      </c>
      <c r="O498" s="712">
        <v>61106.680000000015</v>
      </c>
      <c r="P498" s="712">
        <v>61755.95782437524</v>
      </c>
    </row>
    <row r="499" spans="1:16" hidden="1">
      <c r="A499" s="709" t="s">
        <v>398</v>
      </c>
      <c r="B499" s="709" t="s">
        <v>667</v>
      </c>
      <c r="C499" s="709" t="s">
        <v>1138</v>
      </c>
      <c r="D499" s="709" t="s">
        <v>1139</v>
      </c>
      <c r="E499" s="709" t="s">
        <v>1140</v>
      </c>
      <c r="F499" s="709" t="s">
        <v>1141</v>
      </c>
      <c r="G499" s="709" t="s">
        <v>1070</v>
      </c>
      <c r="H499" s="709">
        <v>5025</v>
      </c>
      <c r="I499" s="709" t="s">
        <v>840</v>
      </c>
      <c r="J499" s="709">
        <v>63300150</v>
      </c>
      <c r="K499" s="709" t="s">
        <v>1281</v>
      </c>
      <c r="L499" s="712">
        <v>7063.476474700451</v>
      </c>
      <c r="M499" s="712">
        <v>7464</v>
      </c>
      <c r="N499" s="712">
        <v>7464</v>
      </c>
      <c r="O499" s="712">
        <v>7464</v>
      </c>
      <c r="P499" s="712">
        <v>7543.3073634688817</v>
      </c>
    </row>
    <row r="500" spans="1:16" hidden="1">
      <c r="A500" s="709" t="s">
        <v>398</v>
      </c>
      <c r="B500" s="709" t="s">
        <v>667</v>
      </c>
      <c r="C500" s="709" t="s">
        <v>849</v>
      </c>
      <c r="D500" s="709" t="s">
        <v>850</v>
      </c>
      <c r="E500" s="709" t="s">
        <v>851</v>
      </c>
      <c r="F500" s="709" t="s">
        <v>852</v>
      </c>
      <c r="G500" s="709" t="s">
        <v>1070</v>
      </c>
      <c r="H500" s="709">
        <v>5025</v>
      </c>
      <c r="I500" s="709" t="s">
        <v>840</v>
      </c>
      <c r="J500" s="709">
        <v>63300150</v>
      </c>
      <c r="K500" s="709" t="s">
        <v>1281</v>
      </c>
      <c r="L500" s="712">
        <v>103249.3566785701</v>
      </c>
      <c r="M500" s="712">
        <v>109103.952</v>
      </c>
      <c r="N500" s="712">
        <v>159103.95199999999</v>
      </c>
      <c r="O500" s="712">
        <v>159103.95199999999</v>
      </c>
      <c r="P500" s="712">
        <v>160794.48187012319</v>
      </c>
    </row>
    <row r="501" spans="1:16" hidden="1">
      <c r="A501" s="709" t="s">
        <v>398</v>
      </c>
      <c r="B501" s="709" t="s">
        <v>667</v>
      </c>
      <c r="C501" s="709" t="s">
        <v>853</v>
      </c>
      <c r="D501" s="709" t="s">
        <v>854</v>
      </c>
      <c r="E501" s="709" t="s">
        <v>855</v>
      </c>
      <c r="F501" s="709" t="s">
        <v>856</v>
      </c>
      <c r="G501" s="709" t="s">
        <v>1070</v>
      </c>
      <c r="H501" s="709">
        <v>5025</v>
      </c>
      <c r="I501" s="709" t="s">
        <v>840</v>
      </c>
      <c r="J501" s="709">
        <v>63300150</v>
      </c>
      <c r="K501" s="709" t="s">
        <v>1281</v>
      </c>
      <c r="L501" s="712">
        <v>409625.12015011412</v>
      </c>
      <c r="M501" s="712">
        <v>432852.27999999991</v>
      </c>
      <c r="N501" s="712">
        <v>263748.99999999988</v>
      </c>
      <c r="O501" s="712">
        <v>263748.99999999988</v>
      </c>
      <c r="P501" s="712">
        <v>266551.41664088337</v>
      </c>
    </row>
    <row r="502" spans="1:16" hidden="1">
      <c r="A502" s="709" t="s">
        <v>398</v>
      </c>
      <c r="B502" s="709" t="s">
        <v>667</v>
      </c>
      <c r="C502" s="709" t="s">
        <v>857</v>
      </c>
      <c r="D502" s="709" t="s">
        <v>858</v>
      </c>
      <c r="E502" s="709" t="s">
        <v>859</v>
      </c>
      <c r="F502" s="709" t="s">
        <v>860</v>
      </c>
      <c r="G502" s="709" t="s">
        <v>1070</v>
      </c>
      <c r="H502" s="709">
        <v>5025</v>
      </c>
      <c r="I502" s="709" t="s">
        <v>840</v>
      </c>
      <c r="J502" s="709">
        <v>63300150</v>
      </c>
      <c r="K502" s="709" t="s">
        <v>1281</v>
      </c>
      <c r="L502" s="712">
        <v>305792.71626309375</v>
      </c>
      <c r="M502" s="712">
        <v>323132.2200000002</v>
      </c>
      <c r="N502" s="712">
        <v>303132.22000000015</v>
      </c>
      <c r="O502" s="712">
        <v>303132.22000000015</v>
      </c>
      <c r="P502" s="712">
        <v>306353.09582404478</v>
      </c>
    </row>
    <row r="503" spans="1:16" hidden="1">
      <c r="A503" s="709" t="s">
        <v>398</v>
      </c>
      <c r="B503" s="709" t="s">
        <v>667</v>
      </c>
      <c r="C503" s="709" t="s">
        <v>1142</v>
      </c>
      <c r="D503" s="709" t="s">
        <v>1143</v>
      </c>
      <c r="E503" s="709" t="s">
        <v>1144</v>
      </c>
      <c r="F503" s="709" t="s">
        <v>1145</v>
      </c>
      <c r="G503" s="709" t="s">
        <v>1070</v>
      </c>
      <c r="H503" s="709">
        <v>5025</v>
      </c>
      <c r="I503" s="709" t="s">
        <v>840</v>
      </c>
      <c r="J503" s="709">
        <v>63300150</v>
      </c>
      <c r="K503" s="709" t="s">
        <v>1281</v>
      </c>
      <c r="L503" s="712">
        <v>17884.336327510446</v>
      </c>
      <c r="M503" s="712">
        <v>18898.439999999999</v>
      </c>
      <c r="N503" s="712">
        <v>19465.393199999999</v>
      </c>
      <c r="O503" s="712">
        <v>20049.354995999998</v>
      </c>
      <c r="P503" s="712">
        <v>20262.385741442711</v>
      </c>
    </row>
    <row r="504" spans="1:16" hidden="1">
      <c r="A504" s="709" t="s">
        <v>398</v>
      </c>
      <c r="B504" s="709" t="s">
        <v>667</v>
      </c>
      <c r="C504" s="709" t="s">
        <v>861</v>
      </c>
      <c r="D504" s="709" t="s">
        <v>862</v>
      </c>
      <c r="E504" s="709" t="s">
        <v>863</v>
      </c>
      <c r="F504" s="709" t="s">
        <v>864</v>
      </c>
      <c r="G504" s="709" t="s">
        <v>1070</v>
      </c>
      <c r="H504" s="709">
        <v>5025</v>
      </c>
      <c r="I504" s="709" t="s">
        <v>840</v>
      </c>
      <c r="J504" s="709">
        <v>63300150</v>
      </c>
      <c r="K504" s="709" t="s">
        <v>1281</v>
      </c>
      <c r="L504" s="712">
        <v>54702.149111704319</v>
      </c>
      <c r="M504" s="712">
        <v>57803.94999999999</v>
      </c>
      <c r="N504" s="712">
        <v>57803.94999999999</v>
      </c>
      <c r="O504" s="712">
        <v>57803.94999999999</v>
      </c>
      <c r="P504" s="712">
        <v>58418.13527231873</v>
      </c>
    </row>
    <row r="505" spans="1:16" hidden="1">
      <c r="A505" s="709" t="s">
        <v>398</v>
      </c>
      <c r="B505" s="709" t="s">
        <v>667</v>
      </c>
      <c r="C505" s="709" t="s">
        <v>865</v>
      </c>
      <c r="D505" s="709" t="s">
        <v>866</v>
      </c>
      <c r="E505" s="709" t="s">
        <v>867</v>
      </c>
      <c r="F505" s="709" t="s">
        <v>868</v>
      </c>
      <c r="G505" s="709" t="s">
        <v>1070</v>
      </c>
      <c r="H505" s="709">
        <v>5025</v>
      </c>
      <c r="I505" s="709" t="s">
        <v>840</v>
      </c>
      <c r="J505" s="709">
        <v>63300150</v>
      </c>
      <c r="K505" s="709" t="s">
        <v>1281</v>
      </c>
      <c r="L505" s="712">
        <v>27380.434732383186</v>
      </c>
      <c r="M505" s="712">
        <v>28932.999999999996</v>
      </c>
      <c r="N505" s="712">
        <v>28932.999999999996</v>
      </c>
      <c r="O505" s="712">
        <v>28932.999999999996</v>
      </c>
      <c r="P505" s="712">
        <v>29240.422286608406</v>
      </c>
    </row>
    <row r="506" spans="1:16" hidden="1">
      <c r="A506" s="709" t="s">
        <v>398</v>
      </c>
      <c r="B506" s="709" t="s">
        <v>667</v>
      </c>
      <c r="C506" s="709" t="s">
        <v>1277</v>
      </c>
      <c r="D506" s="709" t="s">
        <v>1278</v>
      </c>
      <c r="E506" s="709" t="s">
        <v>1279</v>
      </c>
      <c r="F506" s="709" t="s">
        <v>1280</v>
      </c>
      <c r="G506" s="709" t="s">
        <v>1070</v>
      </c>
      <c r="H506" s="709">
        <v>5025</v>
      </c>
      <c r="I506" s="709" t="s">
        <v>840</v>
      </c>
      <c r="J506" s="709">
        <v>63300150</v>
      </c>
      <c r="K506" s="709" t="s">
        <v>1281</v>
      </c>
      <c r="L506" s="712">
        <v>43622.304584881575</v>
      </c>
      <c r="M506" s="712">
        <v>46095.840000000004</v>
      </c>
      <c r="N506" s="712">
        <v>46095.840000000004</v>
      </c>
      <c r="O506" s="712">
        <v>46095.840000000004</v>
      </c>
      <c r="P506" s="712">
        <v>46585.622896206252</v>
      </c>
    </row>
    <row r="507" spans="1:16" hidden="1">
      <c r="A507" s="709" t="s">
        <v>398</v>
      </c>
      <c r="B507" s="709" t="s">
        <v>667</v>
      </c>
      <c r="C507" s="709" t="s">
        <v>869</v>
      </c>
      <c r="D507" s="709" t="s">
        <v>870</v>
      </c>
      <c r="E507" s="709" t="s">
        <v>871</v>
      </c>
      <c r="F507" s="709" t="s">
        <v>872</v>
      </c>
      <c r="G507" s="709" t="s">
        <v>1070</v>
      </c>
      <c r="H507" s="709">
        <v>5025</v>
      </c>
      <c r="I507" s="709" t="s">
        <v>840</v>
      </c>
      <c r="J507" s="709">
        <v>63300150</v>
      </c>
      <c r="K507" s="709" t="s">
        <v>1281</v>
      </c>
      <c r="L507" s="712">
        <v>56427.372957792577</v>
      </c>
      <c r="M507" s="712">
        <v>59627</v>
      </c>
      <c r="N507" s="712">
        <v>59627</v>
      </c>
      <c r="O507" s="712">
        <v>59627</v>
      </c>
      <c r="P507" s="712">
        <v>60260.555755835885</v>
      </c>
    </row>
    <row r="508" spans="1:16" hidden="1">
      <c r="A508" s="709" t="s">
        <v>397</v>
      </c>
      <c r="B508" s="709" t="s">
        <v>873</v>
      </c>
      <c r="C508" s="709" t="s">
        <v>874</v>
      </c>
      <c r="D508" s="709" t="s">
        <v>875</v>
      </c>
      <c r="E508" s="709" t="s">
        <v>876</v>
      </c>
      <c r="F508" s="709" t="s">
        <v>877</v>
      </c>
      <c r="G508" s="709" t="s">
        <v>1070</v>
      </c>
      <c r="H508" s="709">
        <v>5024</v>
      </c>
      <c r="I508" s="709" t="s">
        <v>878</v>
      </c>
      <c r="J508" s="709">
        <v>63300150</v>
      </c>
      <c r="K508" s="709" t="s">
        <v>1281</v>
      </c>
      <c r="L508" s="712">
        <v>73212.592978125089</v>
      </c>
      <c r="M508" s="712">
        <v>77364</v>
      </c>
      <c r="N508" s="712">
        <v>77364</v>
      </c>
      <c r="O508" s="712">
        <v>77364</v>
      </c>
      <c r="P508" s="712">
        <v>78186.016997240964</v>
      </c>
    </row>
    <row r="509" spans="1:16" hidden="1">
      <c r="A509" s="709" t="s">
        <v>399</v>
      </c>
      <c r="B509" s="709" t="s">
        <v>668</v>
      </c>
      <c r="C509" s="709" t="s">
        <v>879</v>
      </c>
      <c r="D509" s="709" t="s">
        <v>880</v>
      </c>
      <c r="E509" s="709" t="s">
        <v>881</v>
      </c>
      <c r="F509" s="709" t="s">
        <v>882</v>
      </c>
      <c r="G509" s="709" t="s">
        <v>1070</v>
      </c>
      <c r="H509" s="709">
        <v>5021</v>
      </c>
      <c r="I509" s="709" t="s">
        <v>883</v>
      </c>
      <c r="J509" s="709">
        <v>63300150</v>
      </c>
      <c r="K509" s="709" t="s">
        <v>1281</v>
      </c>
      <c r="L509" s="712">
        <v>1460.4475756090865</v>
      </c>
      <c r="M509" s="712">
        <v>1543.2600000000004</v>
      </c>
      <c r="N509" s="712">
        <v>1574.1252000000004</v>
      </c>
      <c r="O509" s="712">
        <v>1605.6077040000005</v>
      </c>
      <c r="P509" s="712">
        <v>1622.6677942692347</v>
      </c>
    </row>
    <row r="510" spans="1:16" hidden="1">
      <c r="A510" s="709" t="s">
        <v>399</v>
      </c>
      <c r="B510" s="709" t="s">
        <v>668</v>
      </c>
      <c r="C510" s="709" t="s">
        <v>1097</v>
      </c>
      <c r="D510" s="709" t="s">
        <v>1098</v>
      </c>
      <c r="E510" s="709" t="s">
        <v>1099</v>
      </c>
      <c r="F510" s="709" t="s">
        <v>1100</v>
      </c>
      <c r="G510" s="709" t="s">
        <v>1070</v>
      </c>
      <c r="H510" s="709">
        <v>5021</v>
      </c>
      <c r="I510" s="709" t="s">
        <v>883</v>
      </c>
      <c r="J510" s="709">
        <v>63300150</v>
      </c>
      <c r="K510" s="709" t="s">
        <v>1281</v>
      </c>
      <c r="L510" s="712">
        <v>50110.558184396868</v>
      </c>
      <c r="M510" s="712">
        <v>52951.999999999993</v>
      </c>
      <c r="N510" s="712">
        <v>53217.19999999999</v>
      </c>
      <c r="O510" s="712">
        <v>53487.703999999991</v>
      </c>
      <c r="P510" s="712">
        <v>54056.027791833323</v>
      </c>
    </row>
    <row r="511" spans="1:16" hidden="1">
      <c r="A511" s="709" t="s">
        <v>399</v>
      </c>
      <c r="B511" s="709" t="s">
        <v>668</v>
      </c>
      <c r="C511" s="709" t="s">
        <v>884</v>
      </c>
      <c r="D511" s="709" t="s">
        <v>885</v>
      </c>
      <c r="E511" s="709" t="s">
        <v>886</v>
      </c>
      <c r="F511" s="709" t="s">
        <v>887</v>
      </c>
      <c r="G511" s="709" t="s">
        <v>1070</v>
      </c>
      <c r="H511" s="709">
        <v>5021</v>
      </c>
      <c r="I511" s="709" t="s">
        <v>883</v>
      </c>
      <c r="J511" s="709">
        <v>63300150</v>
      </c>
      <c r="K511" s="709" t="s">
        <v>1281</v>
      </c>
      <c r="L511" s="712">
        <v>288416.77232997457</v>
      </c>
      <c r="M511" s="712">
        <v>304770.99999999988</v>
      </c>
      <c r="N511" s="712">
        <v>171463.99999999994</v>
      </c>
      <c r="O511" s="712">
        <v>171463.99999999994</v>
      </c>
      <c r="P511" s="712">
        <v>173285.85929392121</v>
      </c>
    </row>
    <row r="512" spans="1:16" hidden="1">
      <c r="A512" s="709" t="s">
        <v>399</v>
      </c>
      <c r="B512" s="709" t="s">
        <v>668</v>
      </c>
      <c r="C512" s="709" t="s">
        <v>1286</v>
      </c>
      <c r="D512" s="709" t="s">
        <v>1287</v>
      </c>
      <c r="E512" s="709" t="s">
        <v>1288</v>
      </c>
      <c r="F512" s="709" t="s">
        <v>1289</v>
      </c>
      <c r="G512" s="709" t="s">
        <v>1070</v>
      </c>
      <c r="H512" s="709">
        <v>5021</v>
      </c>
      <c r="I512" s="709" t="s">
        <v>883</v>
      </c>
      <c r="J512" s="709">
        <v>63300150</v>
      </c>
      <c r="K512" s="709" t="s">
        <v>1281</v>
      </c>
      <c r="L512" s="712">
        <v>165822.30242221148</v>
      </c>
      <c r="M512" s="712">
        <v>175225</v>
      </c>
      <c r="N512" s="712">
        <v>253567</v>
      </c>
      <c r="O512" s="712">
        <v>175596.56</v>
      </c>
      <c r="P512" s="712">
        <v>177462.32905249269</v>
      </c>
    </row>
    <row r="513" spans="1:16" hidden="1">
      <c r="A513" s="709" t="s">
        <v>399</v>
      </c>
      <c r="B513" s="709" t="s">
        <v>668</v>
      </c>
      <c r="C513" s="709" t="s">
        <v>888</v>
      </c>
      <c r="D513" s="709" t="s">
        <v>889</v>
      </c>
      <c r="E513" s="709" t="s">
        <v>890</v>
      </c>
      <c r="F513" s="709" t="s">
        <v>891</v>
      </c>
      <c r="G513" s="709" t="s">
        <v>1070</v>
      </c>
      <c r="H513" s="709">
        <v>5021</v>
      </c>
      <c r="I513" s="709" t="s">
        <v>883</v>
      </c>
      <c r="J513" s="709">
        <v>63300150</v>
      </c>
      <c r="K513" s="709" t="s">
        <v>1281</v>
      </c>
      <c r="L513" s="712">
        <v>184427.33290085726</v>
      </c>
      <c r="M513" s="712">
        <v>194885.00000000017</v>
      </c>
      <c r="N513" s="712">
        <v>194885.00000000017</v>
      </c>
      <c r="O513" s="712">
        <v>194885.00000000017</v>
      </c>
      <c r="P513" s="712">
        <v>196955.71483516</v>
      </c>
    </row>
    <row r="514" spans="1:16" hidden="1">
      <c r="A514" s="709" t="s">
        <v>399</v>
      </c>
      <c r="B514" s="709" t="s">
        <v>668</v>
      </c>
      <c r="C514" s="709" t="s">
        <v>892</v>
      </c>
      <c r="D514" s="709" t="s">
        <v>893</v>
      </c>
      <c r="E514" s="709" t="s">
        <v>894</v>
      </c>
      <c r="F514" s="709" t="s">
        <v>895</v>
      </c>
      <c r="G514" s="709" t="s">
        <v>1070</v>
      </c>
      <c r="H514" s="709">
        <v>5021</v>
      </c>
      <c r="I514" s="709" t="s">
        <v>883</v>
      </c>
      <c r="J514" s="709">
        <v>63300150</v>
      </c>
      <c r="K514" s="709" t="s">
        <v>1281</v>
      </c>
      <c r="L514" s="712">
        <v>90022.417820046874</v>
      </c>
      <c r="M514" s="712">
        <v>95127.000000000015</v>
      </c>
      <c r="N514" s="712">
        <v>96147.000000000015</v>
      </c>
      <c r="O514" s="712">
        <v>97187.400000000009</v>
      </c>
      <c r="P514" s="712">
        <v>98220.046899302746</v>
      </c>
    </row>
    <row r="515" spans="1:16" hidden="1">
      <c r="A515" s="709" t="s">
        <v>399</v>
      </c>
      <c r="B515" s="709" t="s">
        <v>668</v>
      </c>
      <c r="C515" s="709" t="s">
        <v>1162</v>
      </c>
      <c r="D515" s="709" t="s">
        <v>1163</v>
      </c>
      <c r="E515" s="709" t="s">
        <v>1164</v>
      </c>
      <c r="F515" s="709" t="s">
        <v>1165</v>
      </c>
      <c r="G515" s="709" t="s">
        <v>1070</v>
      </c>
      <c r="H515" s="709">
        <v>5021</v>
      </c>
      <c r="I515" s="709" t="s">
        <v>883</v>
      </c>
      <c r="J515" s="709">
        <v>63300150</v>
      </c>
      <c r="K515" s="709" t="s">
        <v>1281</v>
      </c>
      <c r="L515" s="712">
        <v>15314.608760728483</v>
      </c>
      <c r="M515" s="712">
        <v>16183</v>
      </c>
      <c r="N515" s="712">
        <v>16183</v>
      </c>
      <c r="O515" s="712">
        <v>16183</v>
      </c>
      <c r="P515" s="712">
        <v>16354.949499332384</v>
      </c>
    </row>
    <row r="516" spans="1:16" hidden="1">
      <c r="A516" s="709" t="s">
        <v>399</v>
      </c>
      <c r="B516" s="709" t="s">
        <v>668</v>
      </c>
      <c r="C516" s="709" t="s">
        <v>896</v>
      </c>
      <c r="D516" s="709" t="s">
        <v>897</v>
      </c>
      <c r="E516" s="709" t="s">
        <v>898</v>
      </c>
      <c r="F516" s="709" t="s">
        <v>899</v>
      </c>
      <c r="G516" s="709" t="s">
        <v>1070</v>
      </c>
      <c r="H516" s="709">
        <v>5021</v>
      </c>
      <c r="I516" s="709" t="s">
        <v>883</v>
      </c>
      <c r="J516" s="709">
        <v>63300150</v>
      </c>
      <c r="K516" s="709" t="s">
        <v>1281</v>
      </c>
      <c r="L516" s="712">
        <v>456.13553869314273</v>
      </c>
      <c r="M516" s="712">
        <v>482</v>
      </c>
      <c r="N516" s="712">
        <v>482</v>
      </c>
      <c r="O516" s="712">
        <v>482</v>
      </c>
      <c r="P516" s="712">
        <v>487.12140262486616</v>
      </c>
    </row>
    <row r="517" spans="1:16" hidden="1">
      <c r="A517" s="709" t="s">
        <v>399</v>
      </c>
      <c r="B517" s="709" t="s">
        <v>668</v>
      </c>
      <c r="C517" s="709" t="s">
        <v>1166</v>
      </c>
      <c r="D517" s="709" t="s">
        <v>1167</v>
      </c>
      <c r="E517" s="709" t="s">
        <v>1168</v>
      </c>
      <c r="F517" s="709" t="s">
        <v>1169</v>
      </c>
      <c r="G517" s="709" t="s">
        <v>1070</v>
      </c>
      <c r="H517" s="709">
        <v>5021</v>
      </c>
      <c r="I517" s="709" t="s">
        <v>883</v>
      </c>
      <c r="J517" s="709">
        <v>63300150</v>
      </c>
      <c r="K517" s="709" t="s">
        <v>1281</v>
      </c>
      <c r="L517" s="712">
        <v>9448.2514902745588</v>
      </c>
      <c r="M517" s="712">
        <v>9984.0000000000018</v>
      </c>
      <c r="N517" s="712">
        <v>9984.0000000000018</v>
      </c>
      <c r="O517" s="712">
        <v>9984.0000000000018</v>
      </c>
      <c r="P517" s="712">
        <v>10090.083161424616</v>
      </c>
    </row>
    <row r="518" spans="1:16" hidden="1">
      <c r="A518" s="709" t="s">
        <v>399</v>
      </c>
      <c r="B518" s="709" t="s">
        <v>668</v>
      </c>
      <c r="C518" s="709" t="s">
        <v>900</v>
      </c>
      <c r="D518" s="709" t="s">
        <v>901</v>
      </c>
      <c r="E518" s="709" t="s">
        <v>902</v>
      </c>
      <c r="F518" s="709" t="s">
        <v>903</v>
      </c>
      <c r="G518" s="709" t="s">
        <v>1070</v>
      </c>
      <c r="H518" s="709">
        <v>5021</v>
      </c>
      <c r="I518" s="709" t="s">
        <v>883</v>
      </c>
      <c r="J518" s="709">
        <v>63300150</v>
      </c>
      <c r="K518" s="709" t="s">
        <v>1281</v>
      </c>
      <c r="L518" s="712">
        <v>1166.8363469059025</v>
      </c>
      <c r="M518" s="712">
        <v>1233</v>
      </c>
      <c r="N518" s="712">
        <v>1233</v>
      </c>
      <c r="O518" s="712">
        <v>1233</v>
      </c>
      <c r="P518" s="712">
        <v>1246.1010154283401</v>
      </c>
    </row>
    <row r="519" spans="1:16" hidden="1">
      <c r="A519" s="709" t="s">
        <v>407</v>
      </c>
      <c r="B519" s="709" t="s">
        <v>669</v>
      </c>
      <c r="C519" s="709" t="s">
        <v>904</v>
      </c>
      <c r="D519" s="709" t="s">
        <v>905</v>
      </c>
      <c r="E519" s="709" t="s">
        <v>906</v>
      </c>
      <c r="F519" s="709" t="s">
        <v>907</v>
      </c>
      <c r="G519" s="709" t="s">
        <v>1070</v>
      </c>
      <c r="H519" s="709">
        <v>5020</v>
      </c>
      <c r="I519" s="709" t="s">
        <v>908</v>
      </c>
      <c r="J519" s="709">
        <v>63300150</v>
      </c>
      <c r="K519" s="709" t="s">
        <v>1281</v>
      </c>
      <c r="L519" s="712">
        <v>61470.415044298294</v>
      </c>
      <c r="M519" s="712">
        <v>64956</v>
      </c>
      <c r="N519" s="712">
        <v>64956</v>
      </c>
      <c r="O519" s="712">
        <v>64956</v>
      </c>
      <c r="P519" s="712">
        <v>65646.178068258931</v>
      </c>
    </row>
    <row r="520" spans="1:16" hidden="1">
      <c r="A520" s="709" t="s">
        <v>407</v>
      </c>
      <c r="B520" s="709" t="s">
        <v>669</v>
      </c>
      <c r="C520" s="709" t="s">
        <v>1101</v>
      </c>
      <c r="D520" s="709" t="s">
        <v>1102</v>
      </c>
      <c r="E520" s="709" t="s">
        <v>1103</v>
      </c>
      <c r="F520" s="709" t="s">
        <v>1104</v>
      </c>
      <c r="G520" s="709" t="s">
        <v>1070</v>
      </c>
      <c r="H520" s="709">
        <v>5020</v>
      </c>
      <c r="I520" s="709" t="s">
        <v>908</v>
      </c>
      <c r="J520" s="709">
        <v>63300150</v>
      </c>
      <c r="K520" s="709" t="s">
        <v>1281</v>
      </c>
      <c r="L520" s="712">
        <v>95396.678658715653</v>
      </c>
      <c r="M520" s="712">
        <v>100806</v>
      </c>
      <c r="N520" s="712">
        <v>100806</v>
      </c>
      <c r="O520" s="712">
        <v>100806</v>
      </c>
      <c r="P520" s="712">
        <v>101877.09567012917</v>
      </c>
    </row>
    <row r="521" spans="1:16" hidden="1">
      <c r="A521" s="709" t="s">
        <v>407</v>
      </c>
      <c r="B521" s="709" t="s">
        <v>669</v>
      </c>
      <c r="C521" s="709" t="s">
        <v>1170</v>
      </c>
      <c r="D521" s="709" t="s">
        <v>1171</v>
      </c>
      <c r="E521" s="709" t="s">
        <v>1172</v>
      </c>
      <c r="F521" s="709" t="s">
        <v>1173</v>
      </c>
      <c r="G521" s="709" t="s">
        <v>1070</v>
      </c>
      <c r="H521" s="709">
        <v>5020</v>
      </c>
      <c r="I521" s="709" t="s">
        <v>908</v>
      </c>
      <c r="J521" s="709">
        <v>63300150</v>
      </c>
      <c r="K521" s="709" t="s">
        <v>1281</v>
      </c>
      <c r="L521" s="712">
        <v>42585.268135251914</v>
      </c>
      <c r="M521" s="712">
        <v>45000</v>
      </c>
      <c r="N521" s="712">
        <v>45000</v>
      </c>
      <c r="O521" s="712">
        <v>45000</v>
      </c>
      <c r="P521" s="712">
        <v>45478.139249209496</v>
      </c>
    </row>
    <row r="522" spans="1:16" hidden="1">
      <c r="A522" s="709" t="s">
        <v>407</v>
      </c>
      <c r="B522" s="709" t="s">
        <v>669</v>
      </c>
      <c r="C522" s="709" t="s">
        <v>1105</v>
      </c>
      <c r="D522" s="709" t="s">
        <v>1106</v>
      </c>
      <c r="E522" s="709" t="s">
        <v>1107</v>
      </c>
      <c r="F522" s="709" t="s">
        <v>1108</v>
      </c>
      <c r="G522" s="709" t="s">
        <v>1070</v>
      </c>
      <c r="H522" s="709">
        <v>5020</v>
      </c>
      <c r="I522" s="709" t="s">
        <v>908</v>
      </c>
      <c r="J522" s="709">
        <v>63300150</v>
      </c>
      <c r="K522" s="709" t="s">
        <v>1281</v>
      </c>
      <c r="L522" s="712">
        <v>195100.14743484312</v>
      </c>
      <c r="M522" s="712">
        <v>206163</v>
      </c>
      <c r="N522" s="712">
        <v>206163</v>
      </c>
      <c r="O522" s="712">
        <v>206163</v>
      </c>
      <c r="P522" s="712">
        <v>208353.54715632839</v>
      </c>
    </row>
    <row r="523" spans="1:16" hidden="1">
      <c r="A523" s="709" t="s">
        <v>405</v>
      </c>
      <c r="B523" s="709" t="s">
        <v>669</v>
      </c>
      <c r="C523" s="709" t="s">
        <v>909</v>
      </c>
      <c r="D523" s="709" t="s">
        <v>910</v>
      </c>
      <c r="E523" s="709" t="s">
        <v>911</v>
      </c>
      <c r="F523" s="709" t="s">
        <v>912</v>
      </c>
      <c r="G523" s="709" t="s">
        <v>1070</v>
      </c>
      <c r="H523" s="709">
        <v>5020</v>
      </c>
      <c r="I523" s="709" t="s">
        <v>908</v>
      </c>
      <c r="J523" s="709">
        <v>63300150</v>
      </c>
      <c r="K523" s="709" t="s">
        <v>1281</v>
      </c>
      <c r="L523" s="712">
        <v>89739.462371770394</v>
      </c>
      <c r="M523" s="712">
        <v>94827.999999999985</v>
      </c>
      <c r="N523" s="712">
        <v>119827.99999999999</v>
      </c>
      <c r="O523" s="712">
        <v>119827.99999999999</v>
      </c>
      <c r="P523" s="712">
        <v>121101.21044342834</v>
      </c>
    </row>
    <row r="524" spans="1:16" hidden="1">
      <c r="A524" s="709" t="s">
        <v>287</v>
      </c>
      <c r="B524" s="709" t="s">
        <v>670</v>
      </c>
      <c r="C524" s="709" t="s">
        <v>917</v>
      </c>
      <c r="D524" s="709" t="s">
        <v>918</v>
      </c>
      <c r="E524" s="709" t="s">
        <v>919</v>
      </c>
      <c r="F524" s="709" t="s">
        <v>920</v>
      </c>
      <c r="G524" s="709" t="s">
        <v>1070</v>
      </c>
      <c r="H524" s="709">
        <v>5019</v>
      </c>
      <c r="I524" s="709" t="s">
        <v>921</v>
      </c>
      <c r="J524" s="709">
        <v>63300150</v>
      </c>
      <c r="K524" s="709" t="s">
        <v>1281</v>
      </c>
      <c r="L524" s="712">
        <v>11639.973290302192</v>
      </c>
      <c r="M524" s="712">
        <v>12300.000000000004</v>
      </c>
      <c r="N524" s="712">
        <v>12300.000000000004</v>
      </c>
      <c r="O524" s="712">
        <v>30692.000000000007</v>
      </c>
      <c r="P524" s="712">
        <v>31018.112218594182</v>
      </c>
    </row>
    <row r="525" spans="1:16" hidden="1">
      <c r="A525" s="709" t="s">
        <v>287</v>
      </c>
      <c r="B525" s="709" t="s">
        <v>670</v>
      </c>
      <c r="C525" s="709" t="s">
        <v>1174</v>
      </c>
      <c r="D525" s="709" t="s">
        <v>1175</v>
      </c>
      <c r="E525" s="709" t="s">
        <v>1176</v>
      </c>
      <c r="F525" s="709" t="s">
        <v>1177</v>
      </c>
      <c r="G525" s="709" t="s">
        <v>1070</v>
      </c>
      <c r="H525" s="709">
        <v>5019</v>
      </c>
      <c r="I525" s="709" t="s">
        <v>921</v>
      </c>
      <c r="J525" s="709">
        <v>63300150</v>
      </c>
      <c r="K525" s="709" t="s">
        <v>1281</v>
      </c>
      <c r="L525" s="712">
        <v>24604.821589256655</v>
      </c>
      <c r="M525" s="712">
        <v>25999.999999999993</v>
      </c>
      <c r="N525" s="712">
        <v>25999.999999999993</v>
      </c>
      <c r="O525" s="712">
        <v>16229.999999999996</v>
      </c>
      <c r="P525" s="712">
        <v>16402.448889214887</v>
      </c>
    </row>
    <row r="526" spans="1:16" hidden="1">
      <c r="A526" s="709" t="s">
        <v>287</v>
      </c>
      <c r="B526" s="709" t="s">
        <v>670</v>
      </c>
      <c r="C526" s="709" t="s">
        <v>922</v>
      </c>
      <c r="D526" s="709" t="s">
        <v>923</v>
      </c>
      <c r="E526" s="709" t="s">
        <v>924</v>
      </c>
      <c r="F526" s="709" t="s">
        <v>925</v>
      </c>
      <c r="G526" s="709" t="s">
        <v>1070</v>
      </c>
      <c r="H526" s="709">
        <v>5019</v>
      </c>
      <c r="I526" s="709" t="s">
        <v>921</v>
      </c>
      <c r="J526" s="709">
        <v>63300150</v>
      </c>
      <c r="K526" s="709" t="s">
        <v>1281</v>
      </c>
      <c r="L526" s="712">
        <v>73909.098696959394</v>
      </c>
      <c r="M526" s="712">
        <v>78099.999999999956</v>
      </c>
      <c r="N526" s="712">
        <v>78099.999999999956</v>
      </c>
      <c r="O526" s="712">
        <v>78099.999999999956</v>
      </c>
      <c r="P526" s="712">
        <v>78929.837230294666</v>
      </c>
    </row>
    <row r="527" spans="1:16" hidden="1">
      <c r="A527" s="709" t="s">
        <v>287</v>
      </c>
      <c r="B527" s="709" t="s">
        <v>670</v>
      </c>
      <c r="C527" s="709" t="s">
        <v>926</v>
      </c>
      <c r="D527" s="709" t="s">
        <v>927</v>
      </c>
      <c r="E527" s="709" t="s">
        <v>928</v>
      </c>
      <c r="F527" s="709" t="s">
        <v>929</v>
      </c>
      <c r="G527" s="709" t="s">
        <v>1070</v>
      </c>
      <c r="H527" s="709">
        <v>5019</v>
      </c>
      <c r="I527" s="709" t="s">
        <v>921</v>
      </c>
      <c r="J527" s="709">
        <v>63300150</v>
      </c>
      <c r="K527" s="709" t="s">
        <v>1281</v>
      </c>
      <c r="L527" s="712">
        <v>236111.65332767449</v>
      </c>
      <c r="M527" s="712">
        <v>249500</v>
      </c>
      <c r="N527" s="712">
        <v>24500</v>
      </c>
      <c r="O527" s="712">
        <v>133875</v>
      </c>
      <c r="P527" s="712">
        <v>135297.46426639825</v>
      </c>
    </row>
    <row r="528" spans="1:16" hidden="1">
      <c r="A528" s="709" t="s">
        <v>287</v>
      </c>
      <c r="B528" s="709" t="s">
        <v>670</v>
      </c>
      <c r="C528" s="709" t="s">
        <v>930</v>
      </c>
      <c r="D528" s="709" t="s">
        <v>931</v>
      </c>
      <c r="E528" s="709" t="s">
        <v>932</v>
      </c>
      <c r="F528" s="709" t="s">
        <v>933</v>
      </c>
      <c r="G528" s="709" t="s">
        <v>1070</v>
      </c>
      <c r="H528" s="709">
        <v>5019</v>
      </c>
      <c r="I528" s="709" t="s">
        <v>921</v>
      </c>
      <c r="J528" s="709">
        <v>63300150</v>
      </c>
      <c r="K528" s="709" t="s">
        <v>1281</v>
      </c>
      <c r="L528" s="712">
        <v>253245.12620742424</v>
      </c>
      <c r="M528" s="712">
        <v>267605.00000000006</v>
      </c>
      <c r="N528" s="712">
        <v>392605.00000000006</v>
      </c>
      <c r="O528" s="712">
        <v>334502.00000000006</v>
      </c>
      <c r="P528" s="712">
        <v>338056.18966975727</v>
      </c>
    </row>
    <row r="529" spans="1:16" hidden="1">
      <c r="A529" s="709" t="s">
        <v>287</v>
      </c>
      <c r="B529" s="709" t="s">
        <v>670</v>
      </c>
      <c r="C529" s="709" t="s">
        <v>934</v>
      </c>
      <c r="D529" s="709" t="s">
        <v>935</v>
      </c>
      <c r="E529" s="709" t="s">
        <v>936</v>
      </c>
      <c r="F529" s="709" t="s">
        <v>937</v>
      </c>
      <c r="G529" s="709" t="s">
        <v>1070</v>
      </c>
      <c r="H529" s="709">
        <v>5019</v>
      </c>
      <c r="I529" s="709" t="s">
        <v>921</v>
      </c>
      <c r="J529" s="709">
        <v>63300150</v>
      </c>
      <c r="K529" s="709" t="s">
        <v>1281</v>
      </c>
      <c r="L529" s="712">
        <v>23832.608727070765</v>
      </c>
      <c r="M529" s="712">
        <v>25184.000000000007</v>
      </c>
      <c r="N529" s="712">
        <v>25184.000000000007</v>
      </c>
      <c r="O529" s="712">
        <v>25184.000000000007</v>
      </c>
      <c r="P529" s="712">
        <v>25451.58797449094</v>
      </c>
    </row>
    <row r="530" spans="1:16" hidden="1">
      <c r="A530" s="709" t="s">
        <v>287</v>
      </c>
      <c r="B530" s="709" t="s">
        <v>670</v>
      </c>
      <c r="C530" s="709" t="s">
        <v>1186</v>
      </c>
      <c r="D530" s="709" t="s">
        <v>1187</v>
      </c>
      <c r="E530" s="709" t="s">
        <v>1188</v>
      </c>
      <c r="F530" s="709" t="s">
        <v>1189</v>
      </c>
      <c r="G530" s="709" t="s">
        <v>1070</v>
      </c>
      <c r="H530" s="709">
        <v>5019</v>
      </c>
      <c r="I530" s="709" t="s">
        <v>921</v>
      </c>
      <c r="J530" s="709">
        <v>63300150</v>
      </c>
      <c r="K530" s="709" t="s">
        <v>1281</v>
      </c>
      <c r="L530" s="712">
        <v>170341.07254100766</v>
      </c>
      <c r="M530" s="712">
        <v>180000</v>
      </c>
      <c r="N530" s="712">
        <v>183600</v>
      </c>
      <c r="O530" s="712">
        <v>188000</v>
      </c>
      <c r="P530" s="712">
        <v>189997.55953003079</v>
      </c>
    </row>
    <row r="531" spans="1:16" hidden="1">
      <c r="A531" s="709" t="s">
        <v>287</v>
      </c>
      <c r="B531" s="709" t="s">
        <v>670</v>
      </c>
      <c r="C531" s="709" t="s">
        <v>938</v>
      </c>
      <c r="D531" s="709" t="s">
        <v>939</v>
      </c>
      <c r="E531" s="709" t="s">
        <v>940</v>
      </c>
      <c r="F531" s="709" t="s">
        <v>941</v>
      </c>
      <c r="G531" s="709" t="s">
        <v>1070</v>
      </c>
      <c r="H531" s="709">
        <v>5019</v>
      </c>
      <c r="I531" s="709" t="s">
        <v>921</v>
      </c>
      <c r="J531" s="709">
        <v>63300150</v>
      </c>
      <c r="K531" s="709" t="s">
        <v>1281</v>
      </c>
      <c r="L531" s="712">
        <v>11639.97329030219</v>
      </c>
      <c r="M531" s="712">
        <v>12300</v>
      </c>
      <c r="N531" s="712">
        <v>12300</v>
      </c>
      <c r="O531" s="712">
        <v>12300</v>
      </c>
      <c r="P531" s="712">
        <v>12430.691394783929</v>
      </c>
    </row>
    <row r="532" spans="1:16" hidden="1">
      <c r="A532" s="709" t="s">
        <v>287</v>
      </c>
      <c r="B532" s="709" t="s">
        <v>670</v>
      </c>
      <c r="C532" s="709" t="s">
        <v>942</v>
      </c>
      <c r="D532" s="709" t="s">
        <v>943</v>
      </c>
      <c r="E532" s="709" t="s">
        <v>944</v>
      </c>
      <c r="F532" s="709" t="s">
        <v>945</v>
      </c>
      <c r="G532" s="709" t="s">
        <v>1070</v>
      </c>
      <c r="H532" s="709">
        <v>5019</v>
      </c>
      <c r="I532" s="709" t="s">
        <v>921</v>
      </c>
      <c r="J532" s="709">
        <v>63300150</v>
      </c>
      <c r="K532" s="709" t="s">
        <v>1281</v>
      </c>
      <c r="L532" s="712">
        <v>186777.27316709657</v>
      </c>
      <c r="M532" s="712">
        <v>197368.19</v>
      </c>
      <c r="N532" s="712">
        <v>1199.9999999999998</v>
      </c>
      <c r="O532" s="712">
        <v>1199.9999999999998</v>
      </c>
      <c r="P532" s="712">
        <v>1212.7503799789197</v>
      </c>
    </row>
    <row r="533" spans="1:16" hidden="1">
      <c r="A533" s="709" t="s">
        <v>287</v>
      </c>
      <c r="B533" s="709" t="s">
        <v>670</v>
      </c>
      <c r="C533" s="709" t="s">
        <v>1290</v>
      </c>
      <c r="D533" s="709" t="s">
        <v>1291</v>
      </c>
      <c r="E533" s="709" t="s">
        <v>1292</v>
      </c>
      <c r="F533" s="709" t="s">
        <v>1293</v>
      </c>
      <c r="G533" s="709" t="s">
        <v>1070</v>
      </c>
      <c r="H533" s="709">
        <v>5019</v>
      </c>
      <c r="I533" s="709" t="s">
        <v>921</v>
      </c>
      <c r="J533" s="709">
        <v>63300150</v>
      </c>
      <c r="K533" s="709" t="s">
        <v>1281</v>
      </c>
      <c r="L533" s="712">
        <v>33557.191290578507</v>
      </c>
      <c r="M533" s="712">
        <v>35460</v>
      </c>
      <c r="N533" s="712">
        <v>35460</v>
      </c>
      <c r="O533" s="712">
        <v>35460</v>
      </c>
      <c r="P533" s="712">
        <v>35836.773728377084</v>
      </c>
    </row>
    <row r="534" spans="1:16" hidden="1">
      <c r="A534" s="709" t="s">
        <v>287</v>
      </c>
      <c r="B534" s="709" t="s">
        <v>670</v>
      </c>
      <c r="C534" s="709" t="s">
        <v>1294</v>
      </c>
      <c r="D534" s="709" t="s">
        <v>1295</v>
      </c>
      <c r="E534" s="709" t="s">
        <v>1296</v>
      </c>
      <c r="F534" s="709" t="s">
        <v>1297</v>
      </c>
      <c r="G534" s="709" t="s">
        <v>1070</v>
      </c>
      <c r="H534" s="709">
        <v>5019</v>
      </c>
      <c r="I534" s="709" t="s">
        <v>921</v>
      </c>
      <c r="J534" s="709">
        <v>63300150</v>
      </c>
      <c r="K534" s="709" t="s">
        <v>1281</v>
      </c>
      <c r="L534" s="712">
        <v>0</v>
      </c>
      <c r="M534" s="712">
        <v>0</v>
      </c>
      <c r="N534" s="712">
        <v>0</v>
      </c>
      <c r="O534" s="712">
        <v>600000</v>
      </c>
      <c r="P534" s="712">
        <v>606375.18998945993</v>
      </c>
    </row>
    <row r="535" spans="1:16" hidden="1">
      <c r="A535" s="709" t="s">
        <v>403</v>
      </c>
      <c r="B535" s="709" t="s">
        <v>671</v>
      </c>
      <c r="C535" s="709" t="s">
        <v>950</v>
      </c>
      <c r="D535" s="709" t="s">
        <v>951</v>
      </c>
      <c r="E535" s="709" t="s">
        <v>952</v>
      </c>
      <c r="F535" s="709" t="s">
        <v>953</v>
      </c>
      <c r="G535" s="709" t="s">
        <v>1070</v>
      </c>
      <c r="H535" s="709">
        <v>5017</v>
      </c>
      <c r="I535" s="709" t="s">
        <v>954</v>
      </c>
      <c r="J535" s="709">
        <v>63300150</v>
      </c>
      <c r="K535" s="709" t="s">
        <v>1281</v>
      </c>
      <c r="L535" s="712">
        <v>85629.510827072707</v>
      </c>
      <c r="M535" s="712">
        <v>90485.000000000058</v>
      </c>
      <c r="N535" s="712">
        <v>50485.000000000036</v>
      </c>
      <c r="O535" s="712">
        <v>50485.000000000036</v>
      </c>
      <c r="P535" s="712">
        <v>51021.419111029849</v>
      </c>
    </row>
    <row r="536" spans="1:16" hidden="1">
      <c r="A536" s="709" t="s">
        <v>403</v>
      </c>
      <c r="B536" s="709" t="s">
        <v>671</v>
      </c>
      <c r="C536" s="709" t="s">
        <v>955</v>
      </c>
      <c r="D536" s="709" t="s">
        <v>956</v>
      </c>
      <c r="E536" s="709" t="s">
        <v>957</v>
      </c>
      <c r="F536" s="709" t="s">
        <v>958</v>
      </c>
      <c r="G536" s="709" t="s">
        <v>1070</v>
      </c>
      <c r="H536" s="709">
        <v>5017</v>
      </c>
      <c r="I536" s="709" t="s">
        <v>954</v>
      </c>
      <c r="J536" s="709">
        <v>63300150</v>
      </c>
      <c r="K536" s="709" t="s">
        <v>1281</v>
      </c>
      <c r="L536" s="712">
        <v>38086.371141585529</v>
      </c>
      <c r="M536" s="712">
        <v>40246.000000000007</v>
      </c>
      <c r="N536" s="712">
        <v>106046.00000000003</v>
      </c>
      <c r="O536" s="712">
        <v>65246.000000000015</v>
      </c>
      <c r="P536" s="712">
        <v>65939.259410087194</v>
      </c>
    </row>
    <row r="537" spans="1:16" hidden="1">
      <c r="A537" s="709" t="s">
        <v>403</v>
      </c>
      <c r="B537" s="709" t="s">
        <v>671</v>
      </c>
      <c r="C537" s="709" t="s">
        <v>959</v>
      </c>
      <c r="D537" s="709" t="s">
        <v>960</v>
      </c>
      <c r="E537" s="709" t="s">
        <v>961</v>
      </c>
      <c r="F537" s="709" t="s">
        <v>962</v>
      </c>
      <c r="G537" s="709" t="s">
        <v>1070</v>
      </c>
      <c r="H537" s="709">
        <v>5017</v>
      </c>
      <c r="I537" s="709" t="s">
        <v>954</v>
      </c>
      <c r="J537" s="709">
        <v>63300150</v>
      </c>
      <c r="K537" s="709" t="s">
        <v>1281</v>
      </c>
      <c r="L537" s="712">
        <v>48259.518529451248</v>
      </c>
      <c r="M537" s="712">
        <v>50995.999999999993</v>
      </c>
      <c r="N537" s="712">
        <v>50995.999999999993</v>
      </c>
      <c r="O537" s="712">
        <v>50995.999999999993</v>
      </c>
      <c r="P537" s="712">
        <v>51537.848647837491</v>
      </c>
    </row>
    <row r="538" spans="1:16" hidden="1">
      <c r="A538" s="709" t="s">
        <v>403</v>
      </c>
      <c r="B538" s="709" t="s">
        <v>671</v>
      </c>
      <c r="C538" s="709" t="s">
        <v>963</v>
      </c>
      <c r="D538" s="709" t="s">
        <v>964</v>
      </c>
      <c r="E538" s="709" t="s">
        <v>965</v>
      </c>
      <c r="F538" s="709" t="s">
        <v>966</v>
      </c>
      <c r="G538" s="709" t="s">
        <v>1070</v>
      </c>
      <c r="H538" s="709">
        <v>5017</v>
      </c>
      <c r="I538" s="709" t="s">
        <v>954</v>
      </c>
      <c r="J538" s="709">
        <v>63300150</v>
      </c>
      <c r="K538" s="709" t="s">
        <v>1281</v>
      </c>
      <c r="L538" s="712">
        <v>153886.12493354641</v>
      </c>
      <c r="M538" s="712">
        <v>162612.00000000012</v>
      </c>
      <c r="N538" s="712">
        <v>420171.00000000029</v>
      </c>
      <c r="O538" s="712">
        <v>163989.00000000012</v>
      </c>
      <c r="P538" s="712">
        <v>165731.43505196937</v>
      </c>
    </row>
    <row r="539" spans="1:16" hidden="1">
      <c r="A539" s="709" t="s">
        <v>403</v>
      </c>
      <c r="B539" s="709" t="s">
        <v>671</v>
      </c>
      <c r="C539" s="709" t="s">
        <v>967</v>
      </c>
      <c r="D539" s="709" t="s">
        <v>968</v>
      </c>
      <c r="E539" s="709" t="s">
        <v>969</v>
      </c>
      <c r="F539" s="709" t="s">
        <v>970</v>
      </c>
      <c r="G539" s="709" t="s">
        <v>1070</v>
      </c>
      <c r="H539" s="709">
        <v>5017</v>
      </c>
      <c r="I539" s="709" t="s">
        <v>954</v>
      </c>
      <c r="J539" s="709">
        <v>63300150</v>
      </c>
      <c r="K539" s="709" t="s">
        <v>1281</v>
      </c>
      <c r="L539" s="712">
        <v>461440.7167635028</v>
      </c>
      <c r="M539" s="712">
        <v>487605.99999999959</v>
      </c>
      <c r="N539" s="712">
        <v>137605.99999999988</v>
      </c>
      <c r="O539" s="712">
        <v>137605.99999999988</v>
      </c>
      <c r="P539" s="712">
        <v>139068.10732281592</v>
      </c>
    </row>
    <row r="540" spans="1:16" hidden="1">
      <c r="A540" s="709" t="s">
        <v>403</v>
      </c>
      <c r="B540" s="709" t="s">
        <v>671</v>
      </c>
      <c r="C540" s="709" t="s">
        <v>975</v>
      </c>
      <c r="D540" s="709" t="s">
        <v>976</v>
      </c>
      <c r="E540" s="709" t="s">
        <v>977</v>
      </c>
      <c r="F540" s="709" t="s">
        <v>978</v>
      </c>
      <c r="G540" s="709" t="s">
        <v>1070</v>
      </c>
      <c r="H540" s="709">
        <v>5017</v>
      </c>
      <c r="I540" s="709" t="s">
        <v>954</v>
      </c>
      <c r="J540" s="709">
        <v>63300150</v>
      </c>
      <c r="K540" s="709" t="s">
        <v>1281</v>
      </c>
      <c r="L540" s="712">
        <v>165609.37608153521</v>
      </c>
      <c r="M540" s="712">
        <v>175000</v>
      </c>
      <c r="N540" s="712">
        <v>112500</v>
      </c>
      <c r="O540" s="712">
        <v>122000</v>
      </c>
      <c r="P540" s="712">
        <v>123296.2886311902</v>
      </c>
    </row>
    <row r="541" spans="1:16" hidden="1">
      <c r="A541" s="709" t="s">
        <v>403</v>
      </c>
      <c r="B541" s="709" t="s">
        <v>671</v>
      </c>
      <c r="C541" s="709" t="s">
        <v>1202</v>
      </c>
      <c r="D541" s="709" t="s">
        <v>1203</v>
      </c>
      <c r="E541" s="709" t="s">
        <v>1204</v>
      </c>
      <c r="F541" s="709" t="s">
        <v>1205</v>
      </c>
      <c r="G541" s="709" t="s">
        <v>1070</v>
      </c>
      <c r="H541" s="709">
        <v>5017</v>
      </c>
      <c r="I541" s="709" t="s">
        <v>954</v>
      </c>
      <c r="J541" s="709">
        <v>63300150</v>
      </c>
      <c r="K541" s="709" t="s">
        <v>1281</v>
      </c>
      <c r="L541" s="712">
        <v>13967.967948362628</v>
      </c>
      <c r="M541" s="712">
        <v>14760</v>
      </c>
      <c r="N541" s="712">
        <v>14760</v>
      </c>
      <c r="O541" s="712">
        <v>14760</v>
      </c>
      <c r="P541" s="712">
        <v>14916.829673740714</v>
      </c>
    </row>
    <row r="542" spans="1:16" hidden="1">
      <c r="A542" s="709" t="s">
        <v>403</v>
      </c>
      <c r="B542" s="709" t="s">
        <v>671</v>
      </c>
      <c r="C542" s="709" t="s">
        <v>983</v>
      </c>
      <c r="D542" s="709" t="s">
        <v>984</v>
      </c>
      <c r="E542" s="709" t="s">
        <v>985</v>
      </c>
      <c r="F542" s="709" t="s">
        <v>986</v>
      </c>
      <c r="G542" s="709" t="s">
        <v>1070</v>
      </c>
      <c r="H542" s="709">
        <v>5017</v>
      </c>
      <c r="I542" s="709" t="s">
        <v>954</v>
      </c>
      <c r="J542" s="709">
        <v>63300150</v>
      </c>
      <c r="K542" s="709" t="s">
        <v>1281</v>
      </c>
      <c r="L542" s="712">
        <v>33161.621466566619</v>
      </c>
      <c r="M542" s="712">
        <v>35042.000000000007</v>
      </c>
      <c r="N542" s="712">
        <v>35042.000000000007</v>
      </c>
      <c r="O542" s="712">
        <v>135042.00000000003</v>
      </c>
      <c r="P542" s="712">
        <v>136476.86401092779</v>
      </c>
    </row>
    <row r="543" spans="1:16" hidden="1">
      <c r="A543" s="709" t="s">
        <v>397</v>
      </c>
      <c r="B543" s="709" t="s">
        <v>673</v>
      </c>
      <c r="C543" s="709" t="s">
        <v>987</v>
      </c>
      <c r="D543" s="709" t="s">
        <v>988</v>
      </c>
      <c r="E543" s="709" t="s">
        <v>989</v>
      </c>
      <c r="F543" s="709" t="s">
        <v>990</v>
      </c>
      <c r="G543" s="709" t="s">
        <v>1070</v>
      </c>
      <c r="H543" s="709">
        <v>5009</v>
      </c>
      <c r="I543" s="709" t="s">
        <v>991</v>
      </c>
      <c r="J543" s="709">
        <v>63300150</v>
      </c>
      <c r="K543" s="709" t="s">
        <v>1281</v>
      </c>
      <c r="L543" s="712">
        <v>48743.097907609343</v>
      </c>
      <c r="M543" s="712">
        <v>51507</v>
      </c>
      <c r="N543" s="712">
        <v>51507</v>
      </c>
      <c r="O543" s="712">
        <v>51507</v>
      </c>
      <c r="P543" s="712">
        <v>52054.278184645191</v>
      </c>
    </row>
    <row r="544" spans="1:16" hidden="1">
      <c r="A544" s="709" t="s">
        <v>404</v>
      </c>
      <c r="B544" s="709" t="s">
        <v>673</v>
      </c>
      <c r="C544" s="709" t="s">
        <v>1206</v>
      </c>
      <c r="D544" s="709" t="s">
        <v>1207</v>
      </c>
      <c r="E544" s="709" t="s">
        <v>1208</v>
      </c>
      <c r="F544" s="709" t="s">
        <v>1209</v>
      </c>
      <c r="G544" s="709" t="s">
        <v>1070</v>
      </c>
      <c r="H544" s="709">
        <v>5009</v>
      </c>
      <c r="I544" s="709" t="s">
        <v>991</v>
      </c>
      <c r="J544" s="709">
        <v>63300150</v>
      </c>
      <c r="K544" s="709" t="s">
        <v>1281</v>
      </c>
      <c r="L544" s="712">
        <v>99365.625648921137</v>
      </c>
      <c r="M544" s="712">
        <v>105000</v>
      </c>
      <c r="N544" s="712">
        <v>0</v>
      </c>
      <c r="O544" s="712">
        <v>0</v>
      </c>
      <c r="P544" s="712">
        <v>0</v>
      </c>
    </row>
    <row r="545" spans="1:16" hidden="1">
      <c r="A545" s="709" t="s">
        <v>404</v>
      </c>
      <c r="B545" s="709" t="s">
        <v>673</v>
      </c>
      <c r="C545" s="709" t="s">
        <v>1298</v>
      </c>
      <c r="D545" s="709" t="s">
        <v>1299</v>
      </c>
      <c r="E545" s="709" t="s">
        <v>1300</v>
      </c>
      <c r="F545" s="709" t="s">
        <v>1301</v>
      </c>
      <c r="G545" s="709" t="s">
        <v>1070</v>
      </c>
      <c r="H545" s="709">
        <v>5009</v>
      </c>
      <c r="I545" s="709" t="s">
        <v>991</v>
      </c>
      <c r="J545" s="709">
        <v>63300150</v>
      </c>
      <c r="K545" s="709" t="s">
        <v>1281</v>
      </c>
      <c r="L545" s="712">
        <v>18370.338334255779</v>
      </c>
      <c r="M545" s="712">
        <v>19411.999999999996</v>
      </c>
      <c r="N545" s="712">
        <v>19411.999999999996</v>
      </c>
      <c r="O545" s="712">
        <v>19411.999999999996</v>
      </c>
      <c r="P545" s="712">
        <v>19618.258646792325</v>
      </c>
    </row>
    <row r="546" spans="1:16" hidden="1">
      <c r="A546" s="709" t="s">
        <v>542</v>
      </c>
      <c r="B546" s="709" t="s">
        <v>673</v>
      </c>
      <c r="C546" s="709" t="s">
        <v>996</v>
      </c>
      <c r="D546" s="709" t="s">
        <v>997</v>
      </c>
      <c r="E546" s="709" t="s">
        <v>998</v>
      </c>
      <c r="F546" s="709" t="s">
        <v>999</v>
      </c>
      <c r="G546" s="709" t="s">
        <v>1070</v>
      </c>
      <c r="H546" s="709">
        <v>5009</v>
      </c>
      <c r="I546" s="709" t="s">
        <v>991</v>
      </c>
      <c r="J546" s="709">
        <v>63300150</v>
      </c>
      <c r="K546" s="709" t="s">
        <v>1281</v>
      </c>
      <c r="L546" s="712">
        <v>220547.21099388588</v>
      </c>
      <c r="M546" s="712">
        <v>233053</v>
      </c>
      <c r="N546" s="712">
        <v>128053</v>
      </c>
      <c r="O546" s="712">
        <v>8053</v>
      </c>
      <c r="P546" s="712">
        <v>8138.5656749752015</v>
      </c>
    </row>
    <row r="547" spans="1:16" hidden="1">
      <c r="A547" s="709" t="s">
        <v>542</v>
      </c>
      <c r="B547" s="709" t="s">
        <v>673</v>
      </c>
      <c r="C547" s="709" t="s">
        <v>1000</v>
      </c>
      <c r="D547" s="709" t="s">
        <v>1001</v>
      </c>
      <c r="E547" s="709" t="s">
        <v>1002</v>
      </c>
      <c r="F547" s="709" t="s">
        <v>1003</v>
      </c>
      <c r="G547" s="709" t="s">
        <v>1070</v>
      </c>
      <c r="H547" s="709">
        <v>5009</v>
      </c>
      <c r="I547" s="709" t="s">
        <v>991</v>
      </c>
      <c r="J547" s="709">
        <v>63300150</v>
      </c>
      <c r="K547" s="709" t="s">
        <v>1281</v>
      </c>
      <c r="L547" s="712">
        <v>40126.678654910043</v>
      </c>
      <c r="M547" s="712">
        <v>42402.000000000007</v>
      </c>
      <c r="N547" s="712">
        <v>42402.000000000007</v>
      </c>
      <c r="O547" s="712">
        <v>42402.000000000007</v>
      </c>
      <c r="P547" s="712">
        <v>42852.534676555144</v>
      </c>
    </row>
    <row r="548" spans="1:16" hidden="1">
      <c r="A548" s="709" t="s">
        <v>542</v>
      </c>
      <c r="B548" s="709" t="s">
        <v>673</v>
      </c>
      <c r="C548" s="709" t="s">
        <v>1004</v>
      </c>
      <c r="D548" s="709" t="s">
        <v>1005</v>
      </c>
      <c r="E548" s="709" t="s">
        <v>1006</v>
      </c>
      <c r="F548" s="709" t="s">
        <v>1007</v>
      </c>
      <c r="G548" s="709" t="s">
        <v>1070</v>
      </c>
      <c r="H548" s="709">
        <v>5009</v>
      </c>
      <c r="I548" s="709" t="s">
        <v>991</v>
      </c>
      <c r="J548" s="709">
        <v>63300150</v>
      </c>
      <c r="K548" s="709" t="s">
        <v>1281</v>
      </c>
      <c r="L548" s="712">
        <v>47316.964594724348</v>
      </c>
      <c r="M548" s="712">
        <v>50000</v>
      </c>
      <c r="N548" s="712">
        <v>50000</v>
      </c>
      <c r="O548" s="712">
        <v>50000</v>
      </c>
      <c r="P548" s="712">
        <v>50531.265832454999</v>
      </c>
    </row>
    <row r="549" spans="1:16" hidden="1">
      <c r="A549" s="709" t="s">
        <v>542</v>
      </c>
      <c r="B549" s="709" t="s">
        <v>673</v>
      </c>
      <c r="C549" s="709" t="s">
        <v>1008</v>
      </c>
      <c r="D549" s="709" t="s">
        <v>1009</v>
      </c>
      <c r="E549" s="709" t="s">
        <v>1010</v>
      </c>
      <c r="F549" s="709" t="s">
        <v>1011</v>
      </c>
      <c r="G549" s="709" t="s">
        <v>1070</v>
      </c>
      <c r="H549" s="709">
        <v>5009</v>
      </c>
      <c r="I549" s="709" t="s">
        <v>991</v>
      </c>
      <c r="J549" s="709">
        <v>63300150</v>
      </c>
      <c r="K549" s="709" t="s">
        <v>1281</v>
      </c>
      <c r="L549" s="712">
        <v>186941.7563994207</v>
      </c>
      <c r="M549" s="712">
        <v>197541.99999999994</v>
      </c>
      <c r="N549" s="712">
        <v>22541.999999999996</v>
      </c>
      <c r="O549" s="712">
        <v>8642.9999999999982</v>
      </c>
      <c r="P549" s="712">
        <v>8734.8346117981691</v>
      </c>
    </row>
    <row r="550" spans="1:16" hidden="1">
      <c r="A550" s="709" t="s">
        <v>542</v>
      </c>
      <c r="B550" s="709" t="s">
        <v>673</v>
      </c>
      <c r="C550" s="709" t="s">
        <v>1012</v>
      </c>
      <c r="D550" s="709" t="s">
        <v>1013</v>
      </c>
      <c r="E550" s="709" t="s">
        <v>1014</v>
      </c>
      <c r="F550" s="709" t="s">
        <v>1015</v>
      </c>
      <c r="G550" s="709" t="s">
        <v>1070</v>
      </c>
      <c r="H550" s="709">
        <v>5009</v>
      </c>
      <c r="I550" s="709" t="s">
        <v>991</v>
      </c>
      <c r="J550" s="709">
        <v>63300150</v>
      </c>
      <c r="K550" s="709" t="s">
        <v>1281</v>
      </c>
      <c r="L550" s="712">
        <v>25396.907576572346</v>
      </c>
      <c r="M550" s="712">
        <v>26837</v>
      </c>
      <c r="N550" s="712">
        <v>26837</v>
      </c>
      <c r="O550" s="712">
        <v>26837</v>
      </c>
      <c r="P550" s="712">
        <v>27122.151622911893</v>
      </c>
    </row>
    <row r="551" spans="1:16" hidden="1">
      <c r="A551" s="709" t="s">
        <v>542</v>
      </c>
      <c r="B551" s="709" t="s">
        <v>673</v>
      </c>
      <c r="C551" s="709" t="s">
        <v>1222</v>
      </c>
      <c r="D551" s="709" t="s">
        <v>1223</v>
      </c>
      <c r="E551" s="709" t="s">
        <v>1224</v>
      </c>
      <c r="F551" s="709" t="s">
        <v>1225</v>
      </c>
      <c r="G551" s="709" t="s">
        <v>1070</v>
      </c>
      <c r="H551" s="709">
        <v>5009</v>
      </c>
      <c r="I551" s="709" t="s">
        <v>991</v>
      </c>
      <c r="J551" s="709">
        <v>63300150</v>
      </c>
      <c r="K551" s="709" t="s">
        <v>1281</v>
      </c>
      <c r="L551" s="712">
        <v>6302.6196840172834</v>
      </c>
      <c r="M551" s="712">
        <v>6660</v>
      </c>
      <c r="N551" s="712">
        <v>6660</v>
      </c>
      <c r="O551" s="712">
        <v>6660</v>
      </c>
      <c r="P551" s="712">
        <v>6730.7646088830052</v>
      </c>
    </row>
    <row r="552" spans="1:16" hidden="1">
      <c r="A552" s="709" t="s">
        <v>542</v>
      </c>
      <c r="B552" s="709" t="s">
        <v>673</v>
      </c>
      <c r="C552" s="709" t="s">
        <v>1226</v>
      </c>
      <c r="D552" s="709" t="s">
        <v>1227</v>
      </c>
      <c r="E552" s="709" t="s">
        <v>1228</v>
      </c>
      <c r="F552" s="709" t="s">
        <v>1229</v>
      </c>
      <c r="G552" s="709" t="s">
        <v>1070</v>
      </c>
      <c r="H552" s="709">
        <v>5009</v>
      </c>
      <c r="I552" s="709" t="s">
        <v>991</v>
      </c>
      <c r="J552" s="709">
        <v>63300150</v>
      </c>
      <c r="K552" s="709" t="s">
        <v>1281</v>
      </c>
      <c r="L552" s="712">
        <v>184536.16191942495</v>
      </c>
      <c r="M552" s="712">
        <v>195000</v>
      </c>
      <c r="N552" s="712">
        <v>0</v>
      </c>
      <c r="O552" s="712">
        <v>0</v>
      </c>
      <c r="P552" s="712">
        <v>0</v>
      </c>
    </row>
    <row r="553" spans="1:16" hidden="1">
      <c r="A553" s="709" t="s">
        <v>542</v>
      </c>
      <c r="B553" s="709" t="s">
        <v>673</v>
      </c>
      <c r="C553" s="709" t="s">
        <v>1302</v>
      </c>
      <c r="D553" s="709" t="s">
        <v>1303</v>
      </c>
      <c r="E553" s="709" t="s">
        <v>1304</v>
      </c>
      <c r="F553" s="709" t="s">
        <v>1305</v>
      </c>
      <c r="G553" s="709" t="s">
        <v>1070</v>
      </c>
      <c r="H553" s="709">
        <v>5009</v>
      </c>
      <c r="I553" s="709" t="s">
        <v>991</v>
      </c>
      <c r="J553" s="709">
        <v>63300150</v>
      </c>
      <c r="K553" s="709" t="s">
        <v>1281</v>
      </c>
      <c r="L553" s="712">
        <v>2839.0178756834607</v>
      </c>
      <c r="M553" s="712">
        <v>3000</v>
      </c>
      <c r="N553" s="712">
        <v>3000</v>
      </c>
      <c r="O553" s="712">
        <v>3000</v>
      </c>
      <c r="P553" s="712">
        <v>3031.8759499472999</v>
      </c>
    </row>
    <row r="554" spans="1:16" hidden="1">
      <c r="A554" s="709" t="s">
        <v>542</v>
      </c>
      <c r="B554" s="709" t="s">
        <v>673</v>
      </c>
      <c r="C554" s="709" t="s">
        <v>1016</v>
      </c>
      <c r="D554" s="709" t="s">
        <v>1017</v>
      </c>
      <c r="E554" s="709" t="s">
        <v>1018</v>
      </c>
      <c r="F554" s="709" t="s">
        <v>1019</v>
      </c>
      <c r="G554" s="709" t="s">
        <v>1070</v>
      </c>
      <c r="H554" s="709">
        <v>5009</v>
      </c>
      <c r="I554" s="709" t="s">
        <v>991</v>
      </c>
      <c r="J554" s="709">
        <v>63300150</v>
      </c>
      <c r="K554" s="709" t="s">
        <v>1281</v>
      </c>
      <c r="L554" s="712">
        <v>432129.74987565528</v>
      </c>
      <c r="M554" s="712">
        <v>456633</v>
      </c>
      <c r="N554" s="712">
        <v>204633</v>
      </c>
      <c r="O554" s="712">
        <v>196633</v>
      </c>
      <c r="P554" s="712">
        <v>198722.28788866248</v>
      </c>
    </row>
    <row r="555" spans="1:16" hidden="1">
      <c r="A555" s="709" t="s">
        <v>400</v>
      </c>
      <c r="B555" s="709" t="s">
        <v>673</v>
      </c>
      <c r="C555" s="709" t="s">
        <v>1020</v>
      </c>
      <c r="D555" s="709" t="s">
        <v>1021</v>
      </c>
      <c r="E555" s="709" t="s">
        <v>1022</v>
      </c>
      <c r="F555" s="709" t="s">
        <v>1023</v>
      </c>
      <c r="G555" s="709" t="s">
        <v>1070</v>
      </c>
      <c r="H555" s="709">
        <v>5009</v>
      </c>
      <c r="I555" s="709" t="s">
        <v>991</v>
      </c>
      <c r="J555" s="709">
        <v>63300150</v>
      </c>
      <c r="K555" s="709" t="s">
        <v>1281</v>
      </c>
      <c r="L555" s="712">
        <v>87984.002985306128</v>
      </c>
      <c r="M555" s="712">
        <v>92972.999999999985</v>
      </c>
      <c r="N555" s="712">
        <v>124132.99999999999</v>
      </c>
      <c r="O555" s="712">
        <v>154132.99999999997</v>
      </c>
      <c r="P555" s="712">
        <v>155770.7119310757</v>
      </c>
    </row>
    <row r="556" spans="1:16" hidden="1">
      <c r="A556" s="709" t="s">
        <v>400</v>
      </c>
      <c r="B556" s="709" t="s">
        <v>673</v>
      </c>
      <c r="C556" s="709" t="s">
        <v>1024</v>
      </c>
      <c r="D556" s="709" t="s">
        <v>1025</v>
      </c>
      <c r="E556" s="709" t="s">
        <v>1026</v>
      </c>
      <c r="F556" s="709" t="s">
        <v>1027</v>
      </c>
      <c r="G556" s="709" t="s">
        <v>1070</v>
      </c>
      <c r="H556" s="709">
        <v>5009</v>
      </c>
      <c r="I556" s="709" t="s">
        <v>991</v>
      </c>
      <c r="J556" s="709">
        <v>63300150</v>
      </c>
      <c r="K556" s="709" t="s">
        <v>1281</v>
      </c>
      <c r="L556" s="712">
        <v>308588.94067599752</v>
      </c>
      <c r="M556" s="712">
        <v>326086.99999999994</v>
      </c>
      <c r="N556" s="712">
        <v>365086.99999999994</v>
      </c>
      <c r="O556" s="712">
        <v>404086.99999999988</v>
      </c>
      <c r="P556" s="712">
        <v>408380.55232878472</v>
      </c>
    </row>
    <row r="557" spans="1:16" hidden="1">
      <c r="A557" s="709" t="s">
        <v>400</v>
      </c>
      <c r="B557" s="709" t="s">
        <v>673</v>
      </c>
      <c r="C557" s="709" t="s">
        <v>1234</v>
      </c>
      <c r="D557" s="709" t="s">
        <v>1235</v>
      </c>
      <c r="E557" s="709" t="s">
        <v>1236</v>
      </c>
      <c r="F557" s="709" t="s">
        <v>1237</v>
      </c>
      <c r="G557" s="709" t="s">
        <v>1070</v>
      </c>
      <c r="H557" s="709">
        <v>5009</v>
      </c>
      <c r="I557" s="709" t="s">
        <v>991</v>
      </c>
      <c r="J557" s="709">
        <v>63300150</v>
      </c>
      <c r="K557" s="709" t="s">
        <v>1281</v>
      </c>
      <c r="L557" s="712">
        <v>76305.229784036273</v>
      </c>
      <c r="M557" s="712">
        <v>80632</v>
      </c>
      <c r="N557" s="712">
        <v>51014</v>
      </c>
      <c r="O557" s="712">
        <v>80632</v>
      </c>
      <c r="P557" s="712">
        <v>81488.740532050229</v>
      </c>
    </row>
    <row r="558" spans="1:16" hidden="1">
      <c r="A558" s="709" t="s">
        <v>400</v>
      </c>
      <c r="B558" s="709" t="s">
        <v>673</v>
      </c>
      <c r="C558" s="709" t="s">
        <v>1028</v>
      </c>
      <c r="D558" s="709" t="s">
        <v>1029</v>
      </c>
      <c r="E558" s="709" t="s">
        <v>1030</v>
      </c>
      <c r="F558" s="709" t="s">
        <v>1031</v>
      </c>
      <c r="G558" s="709" t="s">
        <v>1070</v>
      </c>
      <c r="H558" s="709">
        <v>5009</v>
      </c>
      <c r="I558" s="709" t="s">
        <v>991</v>
      </c>
      <c r="J558" s="709">
        <v>63300150</v>
      </c>
      <c r="K558" s="709" t="s">
        <v>1281</v>
      </c>
      <c r="L558" s="712">
        <v>33840.146738854972</v>
      </c>
      <c r="M558" s="712">
        <v>35759.000000000015</v>
      </c>
      <c r="N558" s="712">
        <v>17759.000000000007</v>
      </c>
      <c r="O558" s="712">
        <v>15759.000000000007</v>
      </c>
      <c r="P558" s="712">
        <v>15926.444365073174</v>
      </c>
    </row>
    <row r="559" spans="1:16" hidden="1">
      <c r="A559" s="709" t="s">
        <v>400</v>
      </c>
      <c r="B559" s="709" t="s">
        <v>673</v>
      </c>
      <c r="C559" s="709" t="s">
        <v>1032</v>
      </c>
      <c r="D559" s="709" t="s">
        <v>1033</v>
      </c>
      <c r="E559" s="709" t="s">
        <v>1034</v>
      </c>
      <c r="F559" s="709" t="s">
        <v>1035</v>
      </c>
      <c r="G559" s="709" t="s">
        <v>1070</v>
      </c>
      <c r="H559" s="709">
        <v>5009</v>
      </c>
      <c r="I559" s="709" t="s">
        <v>991</v>
      </c>
      <c r="J559" s="709">
        <v>63300150</v>
      </c>
      <c r="K559" s="709" t="s">
        <v>1281</v>
      </c>
      <c r="L559" s="712">
        <v>17408.85761369098</v>
      </c>
      <c r="M559" s="712">
        <v>18395.999999999996</v>
      </c>
      <c r="N559" s="712">
        <v>18395.999999999996</v>
      </c>
      <c r="O559" s="712">
        <v>18395.999999999996</v>
      </c>
      <c r="P559" s="712">
        <v>18591.463325076838</v>
      </c>
    </row>
    <row r="560" spans="1:16" hidden="1">
      <c r="A560" s="709" t="s">
        <v>400</v>
      </c>
      <c r="B560" s="709" t="s">
        <v>673</v>
      </c>
      <c r="C560" s="709" t="s">
        <v>1246</v>
      </c>
      <c r="D560" s="709" t="s">
        <v>1247</v>
      </c>
      <c r="E560" s="709" t="s">
        <v>1248</v>
      </c>
      <c r="F560" s="709" t="s">
        <v>1249</v>
      </c>
      <c r="G560" s="709" t="s">
        <v>1070</v>
      </c>
      <c r="H560" s="709">
        <v>5009</v>
      </c>
      <c r="I560" s="709" t="s">
        <v>991</v>
      </c>
      <c r="J560" s="709">
        <v>63300150</v>
      </c>
      <c r="K560" s="709" t="s">
        <v>1281</v>
      </c>
      <c r="L560" s="712">
        <v>21532.057908475261</v>
      </c>
      <c r="M560" s="712">
        <v>22753</v>
      </c>
      <c r="N560" s="712">
        <v>22753</v>
      </c>
      <c r="O560" s="712">
        <v>22753</v>
      </c>
      <c r="P560" s="712">
        <v>22994.757829716971</v>
      </c>
    </row>
    <row r="561" spans="1:16" hidden="1">
      <c r="A561" s="709" t="s">
        <v>400</v>
      </c>
      <c r="B561" s="709" t="s">
        <v>673</v>
      </c>
      <c r="C561" s="709" t="s">
        <v>1250</v>
      </c>
      <c r="D561" s="709" t="s">
        <v>1251</v>
      </c>
      <c r="E561" s="709" t="s">
        <v>1252</v>
      </c>
      <c r="F561" s="709" t="s">
        <v>1253</v>
      </c>
      <c r="G561" s="709" t="s">
        <v>1070</v>
      </c>
      <c r="H561" s="709">
        <v>5009</v>
      </c>
      <c r="I561" s="709" t="s">
        <v>991</v>
      </c>
      <c r="J561" s="709">
        <v>63300150</v>
      </c>
      <c r="K561" s="709" t="s">
        <v>1281</v>
      </c>
      <c r="L561" s="712">
        <v>94633.929189448725</v>
      </c>
      <c r="M561" s="712">
        <v>100000.00000000003</v>
      </c>
      <c r="N561" s="712">
        <v>0</v>
      </c>
      <c r="O561" s="712">
        <v>0</v>
      </c>
      <c r="P561" s="712">
        <v>0</v>
      </c>
    </row>
    <row r="562" spans="1:16" hidden="1">
      <c r="A562" s="709" t="s">
        <v>396</v>
      </c>
      <c r="B562" s="709" t="s">
        <v>673</v>
      </c>
      <c r="C562" s="709" t="s">
        <v>1036</v>
      </c>
      <c r="D562" s="709" t="s">
        <v>1037</v>
      </c>
      <c r="E562" s="709" t="s">
        <v>1038</v>
      </c>
      <c r="F562" s="709" t="s">
        <v>1039</v>
      </c>
      <c r="G562" s="709" t="s">
        <v>1070</v>
      </c>
      <c r="H562" s="709">
        <v>5009</v>
      </c>
      <c r="I562" s="709" t="s">
        <v>991</v>
      </c>
      <c r="J562" s="709">
        <v>63300150</v>
      </c>
      <c r="K562" s="709" t="s">
        <v>1281</v>
      </c>
      <c r="L562" s="712">
        <v>21056.049244652335</v>
      </c>
      <c r="M562" s="712">
        <v>22250</v>
      </c>
      <c r="N562" s="712">
        <v>22250</v>
      </c>
      <c r="O562" s="712">
        <v>22250</v>
      </c>
      <c r="P562" s="712">
        <v>22486.413295442475</v>
      </c>
    </row>
    <row r="563" spans="1:16" hidden="1">
      <c r="A563" s="709" t="s">
        <v>541</v>
      </c>
      <c r="B563" s="709" t="s">
        <v>673</v>
      </c>
      <c r="C563" s="709" t="s">
        <v>1040</v>
      </c>
      <c r="D563" s="709" t="s">
        <v>1041</v>
      </c>
      <c r="E563" s="709" t="s">
        <v>1042</v>
      </c>
      <c r="F563" s="709" t="s">
        <v>1043</v>
      </c>
      <c r="G563" s="709" t="s">
        <v>1070</v>
      </c>
      <c r="H563" s="709">
        <v>5009</v>
      </c>
      <c r="I563" s="709" t="s">
        <v>991</v>
      </c>
      <c r="J563" s="709">
        <v>63300150</v>
      </c>
      <c r="K563" s="709" t="s">
        <v>1281</v>
      </c>
      <c r="L563" s="712">
        <v>22712.143005467686</v>
      </c>
      <c r="M563" s="712">
        <v>24000</v>
      </c>
      <c r="N563" s="712">
        <v>24000</v>
      </c>
      <c r="O563" s="712">
        <v>24000</v>
      </c>
      <c r="P563" s="712">
        <v>24255.007599578399</v>
      </c>
    </row>
    <row r="564" spans="1:16" hidden="1">
      <c r="A564" s="709" t="s">
        <v>541</v>
      </c>
      <c r="B564" s="709" t="s">
        <v>673</v>
      </c>
      <c r="C564" s="709" t="s">
        <v>1044</v>
      </c>
      <c r="D564" s="709" t="s">
        <v>1045</v>
      </c>
      <c r="E564" s="709" t="s">
        <v>1046</v>
      </c>
      <c r="F564" s="709" t="s">
        <v>1047</v>
      </c>
      <c r="G564" s="709" t="s">
        <v>1070</v>
      </c>
      <c r="H564" s="709">
        <v>5009</v>
      </c>
      <c r="I564" s="709" t="s">
        <v>991</v>
      </c>
      <c r="J564" s="709">
        <v>63300150</v>
      </c>
      <c r="K564" s="709" t="s">
        <v>1281</v>
      </c>
      <c r="L564" s="712">
        <v>18808.493426402929</v>
      </c>
      <c r="M564" s="712">
        <v>19875</v>
      </c>
      <c r="N564" s="712">
        <v>19875</v>
      </c>
      <c r="O564" s="712">
        <v>39875</v>
      </c>
      <c r="P564" s="712">
        <v>40298.684501382857</v>
      </c>
    </row>
    <row r="565" spans="1:16" hidden="1">
      <c r="A565" s="709" t="s">
        <v>541</v>
      </c>
      <c r="B565" s="709" t="s">
        <v>673</v>
      </c>
      <c r="C565" s="709" t="s">
        <v>1048</v>
      </c>
      <c r="D565" s="709" t="s">
        <v>1049</v>
      </c>
      <c r="E565" s="709" t="s">
        <v>1050</v>
      </c>
      <c r="F565" s="709" t="s">
        <v>1051</v>
      </c>
      <c r="G565" s="709" t="s">
        <v>1070</v>
      </c>
      <c r="H565" s="709">
        <v>5009</v>
      </c>
      <c r="I565" s="709" t="s">
        <v>991</v>
      </c>
      <c r="J565" s="709">
        <v>63300150</v>
      </c>
      <c r="K565" s="709" t="s">
        <v>1281</v>
      </c>
      <c r="L565" s="712">
        <v>71379.571623297132</v>
      </c>
      <c r="M565" s="712">
        <v>75427.039999999994</v>
      </c>
      <c r="N565" s="712">
        <v>75427.039999999994</v>
      </c>
      <c r="O565" s="712">
        <v>75427.039999999994</v>
      </c>
      <c r="P565" s="712">
        <v>76228.47618390432</v>
      </c>
    </row>
    <row r="566" spans="1:16" hidden="1">
      <c r="A566" s="709" t="s">
        <v>541</v>
      </c>
      <c r="B566" s="709" t="s">
        <v>673</v>
      </c>
      <c r="C566" s="709" t="s">
        <v>1258</v>
      </c>
      <c r="D566" s="709" t="s">
        <v>1259</v>
      </c>
      <c r="E566" s="709" t="s">
        <v>1260</v>
      </c>
      <c r="F566" s="709" t="s">
        <v>1261</v>
      </c>
      <c r="G566" s="709" t="s">
        <v>1070</v>
      </c>
      <c r="H566" s="709">
        <v>5009</v>
      </c>
      <c r="I566" s="709" t="s">
        <v>991</v>
      </c>
      <c r="J566" s="709">
        <v>63300150</v>
      </c>
      <c r="K566" s="709" t="s">
        <v>1281</v>
      </c>
      <c r="L566" s="712">
        <v>29099.933225755474</v>
      </c>
      <c r="M566" s="712">
        <v>30750</v>
      </c>
      <c r="N566" s="712">
        <v>30750</v>
      </c>
      <c r="O566" s="712">
        <v>30750</v>
      </c>
      <c r="P566" s="712">
        <v>31076.728486959822</v>
      </c>
    </row>
    <row r="567" spans="1:16" hidden="1">
      <c r="A567" s="709" t="s">
        <v>541</v>
      </c>
      <c r="B567" s="709" t="s">
        <v>673</v>
      </c>
      <c r="C567" s="709" t="s">
        <v>1052</v>
      </c>
      <c r="D567" s="709" t="s">
        <v>1053</v>
      </c>
      <c r="E567" s="709" t="s">
        <v>1054</v>
      </c>
      <c r="F567" s="709" t="s">
        <v>1055</v>
      </c>
      <c r="G567" s="709" t="s">
        <v>1070</v>
      </c>
      <c r="H567" s="709">
        <v>5009</v>
      </c>
      <c r="I567" s="709" t="s">
        <v>991</v>
      </c>
      <c r="J567" s="709">
        <v>63300150</v>
      </c>
      <c r="K567" s="709" t="s">
        <v>1281</v>
      </c>
      <c r="L567" s="712">
        <v>521480.26679845701</v>
      </c>
      <c r="M567" s="712">
        <v>551050</v>
      </c>
      <c r="N567" s="712">
        <v>351050</v>
      </c>
      <c r="O567" s="712">
        <v>301050</v>
      </c>
      <c r="P567" s="712">
        <v>304248.75157721154</v>
      </c>
    </row>
    <row r="568" spans="1:16" hidden="1">
      <c r="A568" s="709" t="s">
        <v>541</v>
      </c>
      <c r="B568" s="709" t="s">
        <v>673</v>
      </c>
      <c r="C568" s="709" t="s">
        <v>1262</v>
      </c>
      <c r="D568" s="709" t="s">
        <v>1263</v>
      </c>
      <c r="E568" s="709" t="s">
        <v>1264</v>
      </c>
      <c r="F568" s="709" t="s">
        <v>1265</v>
      </c>
      <c r="G568" s="709" t="s">
        <v>1070</v>
      </c>
      <c r="H568" s="709">
        <v>5009</v>
      </c>
      <c r="I568" s="709" t="s">
        <v>991</v>
      </c>
      <c r="J568" s="709">
        <v>63300150</v>
      </c>
      <c r="K568" s="709" t="s">
        <v>1281</v>
      </c>
      <c r="L568" s="712">
        <v>11412.851860247512</v>
      </c>
      <c r="M568" s="712">
        <v>12060</v>
      </c>
      <c r="N568" s="712">
        <v>12060</v>
      </c>
      <c r="O568" s="712">
        <v>12060</v>
      </c>
      <c r="P568" s="712">
        <v>12188.141318788144</v>
      </c>
    </row>
    <row r="569" spans="1:16" hidden="1">
      <c r="A569" s="709" t="s">
        <v>541</v>
      </c>
      <c r="B569" s="709" t="s">
        <v>673</v>
      </c>
      <c r="C569" s="709" t="s">
        <v>1056</v>
      </c>
      <c r="D569" s="709" t="s">
        <v>1057</v>
      </c>
      <c r="E569" s="709" t="s">
        <v>1058</v>
      </c>
      <c r="F569" s="709" t="s">
        <v>1059</v>
      </c>
      <c r="G569" s="709" t="s">
        <v>1070</v>
      </c>
      <c r="H569" s="709">
        <v>5009</v>
      </c>
      <c r="I569" s="709" t="s">
        <v>991</v>
      </c>
      <c r="J569" s="709">
        <v>63300150</v>
      </c>
      <c r="K569" s="709" t="s">
        <v>1281</v>
      </c>
      <c r="L569" s="712">
        <v>13570.505445766943</v>
      </c>
      <c r="M569" s="712">
        <v>14340</v>
      </c>
      <c r="N569" s="712">
        <v>14340</v>
      </c>
      <c r="O569" s="712">
        <v>14340</v>
      </c>
      <c r="P569" s="712">
        <v>14492.367040748093</v>
      </c>
    </row>
    <row r="570" spans="1:16" hidden="1">
      <c r="A570" s="709" t="s">
        <v>541</v>
      </c>
      <c r="B570" s="709" t="s">
        <v>673</v>
      </c>
      <c r="C570" s="709" t="s">
        <v>1060</v>
      </c>
      <c r="D570" s="709" t="s">
        <v>1061</v>
      </c>
      <c r="E570" s="709" t="s">
        <v>1062</v>
      </c>
      <c r="F570" s="709" t="s">
        <v>1063</v>
      </c>
      <c r="G570" s="709" t="s">
        <v>1070</v>
      </c>
      <c r="H570" s="709">
        <v>5009</v>
      </c>
      <c r="I570" s="709" t="s">
        <v>991</v>
      </c>
      <c r="J570" s="709">
        <v>63300150</v>
      </c>
      <c r="K570" s="709" t="s">
        <v>1281</v>
      </c>
      <c r="L570" s="712">
        <v>24280.227212136851</v>
      </c>
      <c r="M570" s="712">
        <v>25657</v>
      </c>
      <c r="N570" s="712">
        <v>25657</v>
      </c>
      <c r="O570" s="712">
        <v>25657</v>
      </c>
      <c r="P570" s="712">
        <v>25929.613749265958</v>
      </c>
    </row>
    <row r="571" spans="1:16" hidden="1">
      <c r="A571" s="709" t="s">
        <v>541</v>
      </c>
      <c r="B571" s="709" t="s">
        <v>673</v>
      </c>
      <c r="C571" s="709" t="s">
        <v>1266</v>
      </c>
      <c r="D571" s="709" t="s">
        <v>1267</v>
      </c>
      <c r="E571" s="709" t="s">
        <v>1268</v>
      </c>
      <c r="F571" s="709" t="s">
        <v>1269</v>
      </c>
      <c r="G571" s="709" t="s">
        <v>1070</v>
      </c>
      <c r="H571" s="709">
        <v>5009</v>
      </c>
      <c r="I571" s="709" t="s">
        <v>991</v>
      </c>
      <c r="J571" s="709">
        <v>63300150</v>
      </c>
      <c r="K571" s="709" t="s">
        <v>1281</v>
      </c>
      <c r="L571" s="712">
        <v>44951.116364988127</v>
      </c>
      <c r="M571" s="712">
        <v>47500</v>
      </c>
      <c r="N571" s="712">
        <v>0</v>
      </c>
      <c r="O571" s="712">
        <v>0</v>
      </c>
      <c r="P571" s="712">
        <v>0</v>
      </c>
    </row>
    <row r="572" spans="1:16" hidden="1">
      <c r="A572" s="709" t="s">
        <v>397</v>
      </c>
      <c r="B572" s="709" t="s">
        <v>1064</v>
      </c>
      <c r="C572" s="709" t="s">
        <v>1065</v>
      </c>
      <c r="D572" s="709" t="s">
        <v>1066</v>
      </c>
      <c r="E572" s="709" t="s">
        <v>1067</v>
      </c>
      <c r="F572" s="709" t="s">
        <v>1068</v>
      </c>
      <c r="G572" s="709" t="s">
        <v>1070</v>
      </c>
      <c r="H572" s="709">
        <v>5008</v>
      </c>
      <c r="I572" s="709" t="s">
        <v>1069</v>
      </c>
      <c r="J572" s="709">
        <v>63300150</v>
      </c>
      <c r="K572" s="709" t="s">
        <v>1281</v>
      </c>
      <c r="L572" s="712">
        <v>41649.297153479027</v>
      </c>
      <c r="M572" s="712">
        <v>44010.956229135161</v>
      </c>
      <c r="N572" s="712">
        <v>44010.956229135161</v>
      </c>
      <c r="O572" s="712">
        <v>44010.956229135161</v>
      </c>
      <c r="P572" s="712">
        <v>44478.586575099398</v>
      </c>
    </row>
    <row r="573" spans="1:16" hidden="1">
      <c r="A573" s="709" t="s">
        <v>133</v>
      </c>
      <c r="B573" s="709" t="s">
        <v>662</v>
      </c>
      <c r="C573" s="709" t="s">
        <v>1306</v>
      </c>
      <c r="D573" s="709" t="s">
        <v>1307</v>
      </c>
      <c r="E573" s="709" t="s">
        <v>1308</v>
      </c>
      <c r="F573" s="709" t="s">
        <v>1309</v>
      </c>
      <c r="G573" s="709" t="s">
        <v>1070</v>
      </c>
      <c r="H573" s="709">
        <v>5327</v>
      </c>
      <c r="I573" s="709" t="s">
        <v>754</v>
      </c>
      <c r="J573" s="709">
        <v>63300152</v>
      </c>
      <c r="K573" s="709" t="s">
        <v>1310</v>
      </c>
      <c r="L573" s="712">
        <v>6295726.7269054465</v>
      </c>
      <c r="M573" s="712">
        <v>6652716.1884000003</v>
      </c>
      <c r="N573" s="712">
        <v>6916908.858</v>
      </c>
      <c r="O573" s="712">
        <v>7187706.5855999999</v>
      </c>
      <c r="P573" s="712">
        <v>7264078.2440528208</v>
      </c>
    </row>
    <row r="574" spans="1:16" hidden="1">
      <c r="A574" s="709" t="s">
        <v>126</v>
      </c>
      <c r="B574" s="709" t="s">
        <v>663</v>
      </c>
      <c r="C574" s="709" t="s">
        <v>1282</v>
      </c>
      <c r="D574" s="709" t="s">
        <v>1283</v>
      </c>
      <c r="E574" s="709" t="s">
        <v>1284</v>
      </c>
      <c r="F574" s="709" t="s">
        <v>1285</v>
      </c>
      <c r="G574" s="709" t="s">
        <v>1070</v>
      </c>
      <c r="H574" s="709">
        <v>5325</v>
      </c>
      <c r="I574" s="709" t="s">
        <v>768</v>
      </c>
      <c r="J574" s="709">
        <v>63300152</v>
      </c>
      <c r="K574" s="709" t="s">
        <v>1310</v>
      </c>
      <c r="L574" s="712">
        <v>4244535.2028493797</v>
      </c>
      <c r="M574" s="712">
        <v>4485215.0166482031</v>
      </c>
      <c r="N574" s="712">
        <v>4597344.8170647891</v>
      </c>
      <c r="O574" s="712">
        <v>4757249.912491288</v>
      </c>
      <c r="P574" s="712">
        <v>4807797.1991904108</v>
      </c>
    </row>
    <row r="575" spans="1:16" hidden="1">
      <c r="A575" s="709" t="s">
        <v>127</v>
      </c>
      <c r="B575" s="709" t="s">
        <v>663</v>
      </c>
      <c r="C575" s="709" t="s">
        <v>1311</v>
      </c>
      <c r="D575" s="709" t="s">
        <v>1312</v>
      </c>
      <c r="E575" s="709" t="s">
        <v>1313</v>
      </c>
      <c r="F575" s="709" t="s">
        <v>1314</v>
      </c>
      <c r="G575" s="709" t="s">
        <v>1070</v>
      </c>
      <c r="H575" s="709">
        <v>5325</v>
      </c>
      <c r="I575" s="709" t="s">
        <v>768</v>
      </c>
      <c r="J575" s="709">
        <v>63300152</v>
      </c>
      <c r="K575" s="709" t="s">
        <v>1310</v>
      </c>
      <c r="L575" s="712">
        <v>6743106.1062571183</v>
      </c>
      <c r="M575" s="712">
        <v>7125463.5245652972</v>
      </c>
      <c r="N575" s="712">
        <v>6776809.5700000003</v>
      </c>
      <c r="O575" s="712">
        <v>6855539.54</v>
      </c>
      <c r="P575" s="712">
        <v>6928381.8184129251</v>
      </c>
    </row>
    <row r="576" spans="1:16" hidden="1">
      <c r="A576" s="709" t="s">
        <v>398</v>
      </c>
      <c r="B576" s="709" t="s">
        <v>667</v>
      </c>
      <c r="C576" s="709" t="s">
        <v>1315</v>
      </c>
      <c r="D576" s="709" t="s">
        <v>1316</v>
      </c>
      <c r="E576" s="709" t="s">
        <v>1317</v>
      </c>
      <c r="F576" s="709" t="s">
        <v>1318</v>
      </c>
      <c r="G576" s="709" t="s">
        <v>1070</v>
      </c>
      <c r="H576" s="709">
        <v>5025</v>
      </c>
      <c r="I576" s="709" t="s">
        <v>840</v>
      </c>
      <c r="J576" s="709">
        <v>63300152</v>
      </c>
      <c r="K576" s="709" t="s">
        <v>1310</v>
      </c>
      <c r="L576" s="712">
        <v>983817.24349808553</v>
      </c>
      <c r="M576" s="712">
        <v>1039603.0809717</v>
      </c>
      <c r="N576" s="712">
        <v>1061144.5592936999</v>
      </c>
      <c r="O576" s="712">
        <v>1082686.0376156999</v>
      </c>
      <c r="P576" s="712">
        <v>1094189.9195969261</v>
      </c>
    </row>
    <row r="577" spans="1:16" hidden="1">
      <c r="A577" s="709" t="s">
        <v>399</v>
      </c>
      <c r="B577" s="709" t="s">
        <v>668</v>
      </c>
      <c r="C577" s="709" t="s">
        <v>1319</v>
      </c>
      <c r="D577" s="709" t="s">
        <v>1320</v>
      </c>
      <c r="E577" s="709" t="s">
        <v>1321</v>
      </c>
      <c r="F577" s="709" t="s">
        <v>1322</v>
      </c>
      <c r="G577" s="709" t="s">
        <v>1070</v>
      </c>
      <c r="H577" s="709">
        <v>5021</v>
      </c>
      <c r="I577" s="709" t="s">
        <v>883</v>
      </c>
      <c r="J577" s="709">
        <v>63300152</v>
      </c>
      <c r="K577" s="709" t="s">
        <v>1310</v>
      </c>
      <c r="L577" s="712">
        <v>966064.43321750115</v>
      </c>
      <c r="M577" s="712">
        <v>1020843.625</v>
      </c>
      <c r="N577" s="712">
        <v>1046364.715625</v>
      </c>
      <c r="O577" s="712">
        <v>1072523.8335155</v>
      </c>
      <c r="P577" s="712">
        <v>1083919.7388603087</v>
      </c>
    </row>
    <row r="578" spans="1:16" hidden="1">
      <c r="A578" s="709" t="s">
        <v>402</v>
      </c>
      <c r="B578" s="709" t="s">
        <v>672</v>
      </c>
      <c r="C578" s="709" t="s">
        <v>1323</v>
      </c>
      <c r="D578" s="709" t="s">
        <v>1324</v>
      </c>
      <c r="E578" s="709" t="s">
        <v>1325</v>
      </c>
      <c r="F578" s="709" t="s">
        <v>1326</v>
      </c>
      <c r="G578" s="709" t="s">
        <v>1070</v>
      </c>
      <c r="H578" s="709">
        <v>5012</v>
      </c>
      <c r="I578" s="709" t="s">
        <v>1327</v>
      </c>
      <c r="J578" s="709">
        <v>63300152</v>
      </c>
      <c r="K578" s="709" t="s">
        <v>1310</v>
      </c>
      <c r="L578" s="712">
        <v>246048.2158925666</v>
      </c>
      <c r="M578" s="712">
        <v>260000</v>
      </c>
      <c r="N578" s="712">
        <v>0</v>
      </c>
      <c r="O578" s="712">
        <v>0</v>
      </c>
      <c r="P578" s="712">
        <v>0</v>
      </c>
    </row>
    <row r="579" spans="1:16" hidden="1">
      <c r="A579" s="709" t="s">
        <v>402</v>
      </c>
      <c r="B579" s="709" t="s">
        <v>672</v>
      </c>
      <c r="C579" s="709" t="s">
        <v>1328</v>
      </c>
      <c r="D579" s="709" t="s">
        <v>1329</v>
      </c>
      <c r="E579" s="709" t="s">
        <v>1330</v>
      </c>
      <c r="F579" s="709" t="s">
        <v>1331</v>
      </c>
      <c r="G579" s="709" t="s">
        <v>1070</v>
      </c>
      <c r="H579" s="709">
        <v>5012</v>
      </c>
      <c r="I579" s="709" t="s">
        <v>1327</v>
      </c>
      <c r="J579" s="709">
        <v>63300152</v>
      </c>
      <c r="K579" s="709" t="s">
        <v>1310</v>
      </c>
      <c r="L579" s="712">
        <v>6897291.7235066304</v>
      </c>
      <c r="M579" s="712">
        <v>7288391.9991305303</v>
      </c>
      <c r="N579" s="712">
        <v>7387248.4588485397</v>
      </c>
      <c r="O579" s="712">
        <v>7629396.9543136805</v>
      </c>
      <c r="P579" s="712">
        <v>7710461.7127949419</v>
      </c>
    </row>
    <row r="580" spans="1:16" hidden="1">
      <c r="A580" s="709" t="s">
        <v>408</v>
      </c>
      <c r="B580" s="709" t="s">
        <v>672</v>
      </c>
      <c r="C580" s="709" t="s">
        <v>1332</v>
      </c>
      <c r="D580" s="709" t="s">
        <v>1333</v>
      </c>
      <c r="E580" s="709" t="s">
        <v>1334</v>
      </c>
      <c r="F580" s="709" t="s">
        <v>1335</v>
      </c>
      <c r="G580" s="709" t="s">
        <v>1070</v>
      </c>
      <c r="H580" s="709">
        <v>5012</v>
      </c>
      <c r="I580" s="709" t="s">
        <v>1327</v>
      </c>
      <c r="J580" s="709">
        <v>63300152</v>
      </c>
      <c r="K580" s="709" t="s">
        <v>1310</v>
      </c>
      <c r="L580" s="712">
        <v>11635325.818039695</v>
      </c>
      <c r="M580" s="712">
        <v>12295088.999999998</v>
      </c>
      <c r="N580" s="712">
        <v>12546837.999999998</v>
      </c>
      <c r="O580" s="712">
        <v>12250927.999999998</v>
      </c>
      <c r="P580" s="712">
        <v>12381097.989245323</v>
      </c>
    </row>
    <row r="581" spans="1:16" hidden="1">
      <c r="A581" s="709" t="s">
        <v>408</v>
      </c>
      <c r="B581" s="709" t="s">
        <v>672</v>
      </c>
      <c r="C581" s="709" t="s">
        <v>1336</v>
      </c>
      <c r="D581" s="709" t="s">
        <v>1337</v>
      </c>
      <c r="E581" s="709" t="s">
        <v>1338</v>
      </c>
      <c r="F581" s="709" t="s">
        <v>1339</v>
      </c>
      <c r="G581" s="709" t="s">
        <v>1070</v>
      </c>
      <c r="H581" s="709">
        <v>5012</v>
      </c>
      <c r="I581" s="709" t="s">
        <v>1327</v>
      </c>
      <c r="J581" s="709">
        <v>63300152</v>
      </c>
      <c r="K581" s="709" t="s">
        <v>1310</v>
      </c>
      <c r="L581" s="712">
        <v>8425581.4160320256</v>
      </c>
      <c r="M581" s="712">
        <v>8903340.9985173102</v>
      </c>
      <c r="N581" s="712">
        <v>8992311.0068628136</v>
      </c>
      <c r="O581" s="712">
        <v>8780232.168344792</v>
      </c>
      <c r="P581" s="712">
        <v>8873524.9153860696</v>
      </c>
    </row>
    <row r="582" spans="1:16" hidden="1">
      <c r="A582" s="709" t="s">
        <v>401</v>
      </c>
      <c r="B582" s="709" t="s">
        <v>672</v>
      </c>
      <c r="C582" s="709" t="s">
        <v>1340</v>
      </c>
      <c r="D582" s="709" t="s">
        <v>1341</v>
      </c>
      <c r="E582" s="709" t="s">
        <v>1342</v>
      </c>
      <c r="F582" s="709" t="s">
        <v>1343</v>
      </c>
      <c r="G582" s="709" t="s">
        <v>1070</v>
      </c>
      <c r="H582" s="709">
        <v>5012</v>
      </c>
      <c r="I582" s="709" t="s">
        <v>1327</v>
      </c>
      <c r="J582" s="709">
        <v>63300152</v>
      </c>
      <c r="K582" s="709" t="s">
        <v>1310</v>
      </c>
      <c r="L582" s="712">
        <v>1276701.6069983926</v>
      </c>
      <c r="M582" s="712">
        <v>1349094.9999999998</v>
      </c>
      <c r="N582" s="712">
        <v>1373444.9999999998</v>
      </c>
      <c r="O582" s="712">
        <v>1398164.9999999998</v>
      </c>
      <c r="P582" s="712">
        <v>1413020.9458526885</v>
      </c>
    </row>
    <row r="583" spans="1:16" hidden="1">
      <c r="A583" s="709" t="s">
        <v>401</v>
      </c>
      <c r="B583" s="709" t="s">
        <v>672</v>
      </c>
      <c r="C583" s="709" t="s">
        <v>1344</v>
      </c>
      <c r="D583" s="709" t="s">
        <v>1345</v>
      </c>
      <c r="E583" s="709" t="s">
        <v>1346</v>
      </c>
      <c r="F583" s="709" t="s">
        <v>1347</v>
      </c>
      <c r="G583" s="709" t="s">
        <v>1070</v>
      </c>
      <c r="H583" s="709">
        <v>5012</v>
      </c>
      <c r="I583" s="709" t="s">
        <v>1327</v>
      </c>
      <c r="J583" s="709">
        <v>63300152</v>
      </c>
      <c r="K583" s="709" t="s">
        <v>1310</v>
      </c>
      <c r="L583" s="712">
        <v>2577610.5730834473</v>
      </c>
      <c r="M583" s="712">
        <v>2723770.0000000005</v>
      </c>
      <c r="N583" s="712">
        <v>2776657.0000000005</v>
      </c>
      <c r="O583" s="712">
        <v>2830134.0000000005</v>
      </c>
      <c r="P583" s="712">
        <v>2860205.0699093845</v>
      </c>
    </row>
    <row r="584" spans="1:16" hidden="1">
      <c r="A584" s="709" t="s">
        <v>133</v>
      </c>
      <c r="B584" s="709" t="s">
        <v>662</v>
      </c>
      <c r="C584" s="709" t="s">
        <v>760</v>
      </c>
      <c r="D584" s="709" t="s">
        <v>761</v>
      </c>
      <c r="E584" s="709" t="s">
        <v>762</v>
      </c>
      <c r="F584" s="709" t="s">
        <v>763</v>
      </c>
      <c r="G584" s="709" t="s">
        <v>1348</v>
      </c>
      <c r="H584" s="709">
        <v>5327</v>
      </c>
      <c r="I584" s="709" t="s">
        <v>754</v>
      </c>
      <c r="J584" s="709">
        <v>63300110</v>
      </c>
      <c r="K584" s="709" t="s">
        <v>1349</v>
      </c>
      <c r="L584" s="712">
        <v>168.29844507690905</v>
      </c>
      <c r="M584" s="712">
        <v>177.84154849999999</v>
      </c>
      <c r="N584" s="712">
        <v>2005.6308342362454</v>
      </c>
      <c r="O584" s="712">
        <v>2005.6308342362454</v>
      </c>
      <c r="P584" s="712">
        <v>2026.9412969312039</v>
      </c>
    </row>
    <row r="585" spans="1:16" hidden="1">
      <c r="A585" s="709" t="s">
        <v>126</v>
      </c>
      <c r="B585" s="709" t="s">
        <v>663</v>
      </c>
      <c r="C585" s="709" t="s">
        <v>764</v>
      </c>
      <c r="D585" s="709" t="s">
        <v>765</v>
      </c>
      <c r="E585" s="709" t="s">
        <v>766</v>
      </c>
      <c r="F585" s="709" t="s">
        <v>767</v>
      </c>
      <c r="G585" s="709" t="s">
        <v>1348</v>
      </c>
      <c r="H585" s="709">
        <v>5325</v>
      </c>
      <c r="I585" s="709" t="s">
        <v>768</v>
      </c>
      <c r="J585" s="709">
        <v>63300110</v>
      </c>
      <c r="K585" s="709" t="s">
        <v>1349</v>
      </c>
      <c r="L585" s="712">
        <v>153.4949853022955</v>
      </c>
      <c r="M585" s="712">
        <v>162.1986814</v>
      </c>
      <c r="N585" s="712">
        <v>345.69089914818881</v>
      </c>
      <c r="O585" s="712">
        <v>345.69089914818881</v>
      </c>
      <c r="P585" s="712">
        <v>349.36397441435037</v>
      </c>
    </row>
    <row r="586" spans="1:16" hidden="1">
      <c r="A586" s="709" t="s">
        <v>126</v>
      </c>
      <c r="B586" s="709" t="s">
        <v>663</v>
      </c>
      <c r="C586" s="709" t="s">
        <v>769</v>
      </c>
      <c r="D586" s="709" t="s">
        <v>770</v>
      </c>
      <c r="E586" s="709" t="s">
        <v>771</v>
      </c>
      <c r="F586" s="709" t="s">
        <v>772</v>
      </c>
      <c r="G586" s="709" t="s">
        <v>1348</v>
      </c>
      <c r="H586" s="709">
        <v>5325</v>
      </c>
      <c r="I586" s="709" t="s">
        <v>768</v>
      </c>
      <c r="J586" s="709">
        <v>63300110</v>
      </c>
      <c r="K586" s="709" t="s">
        <v>1349</v>
      </c>
      <c r="L586" s="712">
        <v>96.482235437983604</v>
      </c>
      <c r="M586" s="712">
        <v>101.9531116</v>
      </c>
      <c r="N586" s="712">
        <v>5804.5374371399366</v>
      </c>
      <c r="O586" s="712">
        <v>5804.5374371399366</v>
      </c>
      <c r="P586" s="712">
        <v>5866.2124854111034</v>
      </c>
    </row>
    <row r="587" spans="1:16" hidden="1">
      <c r="A587" s="709" t="s">
        <v>127</v>
      </c>
      <c r="B587" s="709" t="s">
        <v>663</v>
      </c>
      <c r="C587" s="709" t="s">
        <v>777</v>
      </c>
      <c r="D587" s="709" t="s">
        <v>778</v>
      </c>
      <c r="E587" s="709" t="s">
        <v>779</v>
      </c>
      <c r="F587" s="709" t="s">
        <v>780</v>
      </c>
      <c r="G587" s="709" t="s">
        <v>1348</v>
      </c>
      <c r="H587" s="709">
        <v>5325</v>
      </c>
      <c r="I587" s="709" t="s">
        <v>768</v>
      </c>
      <c r="J587" s="709">
        <v>63300110</v>
      </c>
      <c r="K587" s="709" t="s">
        <v>1349</v>
      </c>
      <c r="L587" s="712">
        <v>149.1067329737624</v>
      </c>
      <c r="M587" s="712">
        <v>157.5616</v>
      </c>
      <c r="N587" s="712">
        <v>2090.5638609802195</v>
      </c>
      <c r="O587" s="712">
        <v>2090.5638609802195</v>
      </c>
      <c r="P587" s="712">
        <v>2112.7767639782992</v>
      </c>
    </row>
    <row r="588" spans="1:16" hidden="1">
      <c r="A588" s="709" t="s">
        <v>398</v>
      </c>
      <c r="B588" s="709" t="s">
        <v>667</v>
      </c>
      <c r="C588" s="709" t="s">
        <v>836</v>
      </c>
      <c r="D588" s="709" t="s">
        <v>837</v>
      </c>
      <c r="E588" s="709" t="s">
        <v>838</v>
      </c>
      <c r="F588" s="709" t="s">
        <v>839</v>
      </c>
      <c r="G588" s="709" t="s">
        <v>1348</v>
      </c>
      <c r="H588" s="709">
        <v>5025</v>
      </c>
      <c r="I588" s="709" t="s">
        <v>840</v>
      </c>
      <c r="J588" s="709">
        <v>63300110</v>
      </c>
      <c r="K588" s="709" t="s">
        <v>1349</v>
      </c>
      <c r="L588" s="712">
        <v>334.93408022304817</v>
      </c>
      <c r="M588" s="712">
        <v>353.92599999999999</v>
      </c>
      <c r="N588" s="712">
        <v>705.41163799433775</v>
      </c>
      <c r="O588" s="712">
        <v>705.41163799433775</v>
      </c>
      <c r="P588" s="712">
        <v>712.90686001598783</v>
      </c>
    </row>
    <row r="589" spans="1:16" hidden="1">
      <c r="A589" s="709" t="s">
        <v>398</v>
      </c>
      <c r="B589" s="709" t="s">
        <v>667</v>
      </c>
      <c r="C589" s="709" t="s">
        <v>841</v>
      </c>
      <c r="D589" s="709" t="s">
        <v>842</v>
      </c>
      <c r="E589" s="709" t="s">
        <v>843</v>
      </c>
      <c r="F589" s="709" t="s">
        <v>844</v>
      </c>
      <c r="G589" s="709" t="s">
        <v>1348</v>
      </c>
      <c r="H589" s="709">
        <v>5025</v>
      </c>
      <c r="I589" s="709" t="s">
        <v>840</v>
      </c>
      <c r="J589" s="709">
        <v>63300110</v>
      </c>
      <c r="K589" s="709" t="s">
        <v>1349</v>
      </c>
      <c r="L589" s="712">
        <v>2023.2302529987032</v>
      </c>
      <c r="M589" s="712">
        <v>2137.9544000000005</v>
      </c>
      <c r="N589" s="712">
        <v>8550.8515896376375</v>
      </c>
      <c r="O589" s="712">
        <v>8550.8515896376375</v>
      </c>
      <c r="P589" s="712">
        <v>8641.7070953969978</v>
      </c>
    </row>
    <row r="590" spans="1:16" hidden="1">
      <c r="A590" s="709" t="s">
        <v>398</v>
      </c>
      <c r="B590" s="709" t="s">
        <v>667</v>
      </c>
      <c r="C590" s="709" t="s">
        <v>849</v>
      </c>
      <c r="D590" s="709" t="s">
        <v>850</v>
      </c>
      <c r="E590" s="709" t="s">
        <v>851</v>
      </c>
      <c r="F590" s="709" t="s">
        <v>852</v>
      </c>
      <c r="G590" s="709" t="s">
        <v>1348</v>
      </c>
      <c r="H590" s="709">
        <v>5025</v>
      </c>
      <c r="I590" s="709" t="s">
        <v>840</v>
      </c>
      <c r="J590" s="709">
        <v>63300110</v>
      </c>
      <c r="K590" s="709" t="s">
        <v>1349</v>
      </c>
      <c r="L590" s="712">
        <v>2561.1726595832397</v>
      </c>
      <c r="M590" s="712">
        <v>2706.4</v>
      </c>
      <c r="N590" s="712">
        <v>7886.9217981471465</v>
      </c>
      <c r="O590" s="712">
        <v>7886.9217981471465</v>
      </c>
      <c r="P590" s="712">
        <v>7970.7228396391483</v>
      </c>
    </row>
    <row r="591" spans="1:16" hidden="1">
      <c r="A591" s="709" t="s">
        <v>398</v>
      </c>
      <c r="B591" s="709" t="s">
        <v>667</v>
      </c>
      <c r="C591" s="709" t="s">
        <v>853</v>
      </c>
      <c r="D591" s="709" t="s">
        <v>854</v>
      </c>
      <c r="E591" s="709" t="s">
        <v>855</v>
      </c>
      <c r="F591" s="709" t="s">
        <v>856</v>
      </c>
      <c r="G591" s="709" t="s">
        <v>1348</v>
      </c>
      <c r="H591" s="709">
        <v>5025</v>
      </c>
      <c r="I591" s="709" t="s">
        <v>840</v>
      </c>
      <c r="J591" s="709">
        <v>63300110</v>
      </c>
      <c r="K591" s="709" t="s">
        <v>1349</v>
      </c>
      <c r="L591" s="712">
        <v>2781.5561538796269</v>
      </c>
      <c r="M591" s="712">
        <v>2939.2799999999993</v>
      </c>
      <c r="N591" s="712">
        <v>2786.3494254437096</v>
      </c>
      <c r="O591" s="712">
        <v>2786.3494254437096</v>
      </c>
      <c r="P591" s="712">
        <v>2815.9552703840868</v>
      </c>
    </row>
    <row r="592" spans="1:16" hidden="1">
      <c r="A592" s="709" t="s">
        <v>398</v>
      </c>
      <c r="B592" s="709" t="s">
        <v>667</v>
      </c>
      <c r="C592" s="709" t="s">
        <v>857</v>
      </c>
      <c r="D592" s="709" t="s">
        <v>858</v>
      </c>
      <c r="E592" s="709" t="s">
        <v>859</v>
      </c>
      <c r="F592" s="709" t="s">
        <v>860</v>
      </c>
      <c r="G592" s="709" t="s">
        <v>1348</v>
      </c>
      <c r="H592" s="709">
        <v>5025</v>
      </c>
      <c r="I592" s="709" t="s">
        <v>840</v>
      </c>
      <c r="J592" s="709">
        <v>63300110</v>
      </c>
      <c r="K592" s="709" t="s">
        <v>1349</v>
      </c>
      <c r="L592" s="712">
        <v>335.87474147919153</v>
      </c>
      <c r="M592" s="712">
        <v>354.92000000000024</v>
      </c>
      <c r="N592" s="712">
        <v>548.89722604078338</v>
      </c>
      <c r="O592" s="712">
        <v>548.89722604078338</v>
      </c>
      <c r="P592" s="712">
        <v>554.72943287527926</v>
      </c>
    </row>
    <row r="593" spans="1:16" hidden="1">
      <c r="A593" s="709" t="s">
        <v>398</v>
      </c>
      <c r="B593" s="709" t="s">
        <v>667</v>
      </c>
      <c r="C593" s="709" t="s">
        <v>865</v>
      </c>
      <c r="D593" s="709" t="s">
        <v>866</v>
      </c>
      <c r="E593" s="709" t="s">
        <v>867</v>
      </c>
      <c r="F593" s="709" t="s">
        <v>868</v>
      </c>
      <c r="G593" s="709" t="s">
        <v>1348</v>
      </c>
      <c r="H593" s="709">
        <v>5025</v>
      </c>
      <c r="I593" s="709" t="s">
        <v>840</v>
      </c>
      <c r="J593" s="709">
        <v>63300110</v>
      </c>
      <c r="K593" s="709" t="s">
        <v>1349</v>
      </c>
      <c r="L593" s="712">
        <v>234.88141224821163</v>
      </c>
      <c r="M593" s="712">
        <v>248.19999999999996</v>
      </c>
      <c r="N593" s="712">
        <v>301.42921923063625</v>
      </c>
      <c r="O593" s="712">
        <v>301.42921923063625</v>
      </c>
      <c r="P593" s="712">
        <v>304.6320001322527</v>
      </c>
    </row>
    <row r="594" spans="1:16" hidden="1">
      <c r="A594" s="709" t="s">
        <v>398</v>
      </c>
      <c r="B594" s="709" t="s">
        <v>667</v>
      </c>
      <c r="C594" s="709" t="s">
        <v>869</v>
      </c>
      <c r="D594" s="709" t="s">
        <v>870</v>
      </c>
      <c r="E594" s="709" t="s">
        <v>871</v>
      </c>
      <c r="F594" s="709" t="s">
        <v>872</v>
      </c>
      <c r="G594" s="709" t="s">
        <v>1348</v>
      </c>
      <c r="H594" s="709">
        <v>5025</v>
      </c>
      <c r="I594" s="709" t="s">
        <v>840</v>
      </c>
      <c r="J594" s="709">
        <v>63300110</v>
      </c>
      <c r="K594" s="709" t="s">
        <v>1349</v>
      </c>
      <c r="L594" s="712">
        <v>252.63473736415222</v>
      </c>
      <c r="M594" s="712">
        <v>266.95999999999998</v>
      </c>
      <c r="N594" s="712">
        <v>296.84060844919247</v>
      </c>
      <c r="O594" s="712">
        <v>296.84060844919247</v>
      </c>
      <c r="P594" s="712">
        <v>299.99463390827663</v>
      </c>
    </row>
    <row r="595" spans="1:16" hidden="1">
      <c r="A595" s="709" t="s">
        <v>399</v>
      </c>
      <c r="B595" s="709" t="s">
        <v>668</v>
      </c>
      <c r="C595" s="709" t="s">
        <v>879</v>
      </c>
      <c r="D595" s="709" t="s">
        <v>880</v>
      </c>
      <c r="E595" s="709" t="s">
        <v>881</v>
      </c>
      <c r="F595" s="709" t="s">
        <v>882</v>
      </c>
      <c r="G595" s="709" t="s">
        <v>1348</v>
      </c>
      <c r="H595" s="709">
        <v>5021</v>
      </c>
      <c r="I595" s="709" t="s">
        <v>883</v>
      </c>
      <c r="J595" s="709">
        <v>63300110</v>
      </c>
      <c r="K595" s="709" t="s">
        <v>1349</v>
      </c>
      <c r="L595" s="712">
        <v>872.75497684250593</v>
      </c>
      <c r="M595" s="712">
        <v>922.24320000000023</v>
      </c>
      <c r="N595" s="712">
        <v>18216.893770786523</v>
      </c>
      <c r="O595" s="712">
        <v>18216.893770786523</v>
      </c>
      <c r="P595" s="712">
        <v>18410.454035464147</v>
      </c>
    </row>
    <row r="596" spans="1:16" hidden="1">
      <c r="A596" s="709" t="s">
        <v>399</v>
      </c>
      <c r="B596" s="709" t="s">
        <v>668</v>
      </c>
      <c r="C596" s="709" t="s">
        <v>1097</v>
      </c>
      <c r="D596" s="709" t="s">
        <v>1098</v>
      </c>
      <c r="E596" s="709" t="s">
        <v>1099</v>
      </c>
      <c r="F596" s="709" t="s">
        <v>1100</v>
      </c>
      <c r="G596" s="709" t="s">
        <v>1348</v>
      </c>
      <c r="H596" s="709">
        <v>5021</v>
      </c>
      <c r="I596" s="709" t="s">
        <v>883</v>
      </c>
      <c r="J596" s="709">
        <v>63300110</v>
      </c>
      <c r="K596" s="709" t="s">
        <v>1349</v>
      </c>
      <c r="L596" s="712">
        <v>132.48750086522816</v>
      </c>
      <c r="M596" s="712">
        <v>139.99999999999997</v>
      </c>
      <c r="N596" s="712">
        <v>366.16062471672456</v>
      </c>
      <c r="O596" s="712">
        <v>366.16062471672456</v>
      </c>
      <c r="P596" s="712">
        <v>370.05119729877202</v>
      </c>
    </row>
    <row r="597" spans="1:16" hidden="1">
      <c r="A597" s="709" t="s">
        <v>399</v>
      </c>
      <c r="B597" s="709" t="s">
        <v>668</v>
      </c>
      <c r="C597" s="709" t="s">
        <v>884</v>
      </c>
      <c r="D597" s="709" t="s">
        <v>885</v>
      </c>
      <c r="E597" s="709" t="s">
        <v>886</v>
      </c>
      <c r="F597" s="709" t="s">
        <v>887</v>
      </c>
      <c r="G597" s="709" t="s">
        <v>1348</v>
      </c>
      <c r="H597" s="709">
        <v>5021</v>
      </c>
      <c r="I597" s="709" t="s">
        <v>883</v>
      </c>
      <c r="J597" s="709">
        <v>63300110</v>
      </c>
      <c r="K597" s="709" t="s">
        <v>1349</v>
      </c>
      <c r="L597" s="712">
        <v>9483.6824333630848</v>
      </c>
      <c r="M597" s="712">
        <v>10021.439999999997</v>
      </c>
      <c r="N597" s="712">
        <v>14158.044843899186</v>
      </c>
      <c r="O597" s="712">
        <v>14158.044843899186</v>
      </c>
      <c r="P597" s="712">
        <v>14308.478553497771</v>
      </c>
    </row>
    <row r="598" spans="1:16" hidden="1">
      <c r="A598" s="709" t="s">
        <v>399</v>
      </c>
      <c r="B598" s="709" t="s">
        <v>668</v>
      </c>
      <c r="C598" s="709" t="s">
        <v>1162</v>
      </c>
      <c r="D598" s="709" t="s">
        <v>1163</v>
      </c>
      <c r="E598" s="709" t="s">
        <v>1164</v>
      </c>
      <c r="F598" s="709" t="s">
        <v>1165</v>
      </c>
      <c r="G598" s="709" t="s">
        <v>1348</v>
      </c>
      <c r="H598" s="709">
        <v>5021</v>
      </c>
      <c r="I598" s="709" t="s">
        <v>883</v>
      </c>
      <c r="J598" s="709">
        <v>63300110</v>
      </c>
      <c r="K598" s="709" t="s">
        <v>1349</v>
      </c>
      <c r="L598" s="712">
        <v>205.58274777115835</v>
      </c>
      <c r="M598" s="712">
        <v>217.24</v>
      </c>
      <c r="N598" s="712">
        <v>491.50499660137183</v>
      </c>
      <c r="O598" s="712">
        <v>491.50499660137183</v>
      </c>
      <c r="P598" s="712">
        <v>496.72739282487618</v>
      </c>
    </row>
    <row r="599" spans="1:16" hidden="1">
      <c r="A599" s="709" t="s">
        <v>399</v>
      </c>
      <c r="B599" s="709" t="s">
        <v>668</v>
      </c>
      <c r="C599" s="709" t="s">
        <v>896</v>
      </c>
      <c r="D599" s="709" t="s">
        <v>897</v>
      </c>
      <c r="E599" s="709" t="s">
        <v>898</v>
      </c>
      <c r="F599" s="709" t="s">
        <v>899</v>
      </c>
      <c r="G599" s="709" t="s">
        <v>1348</v>
      </c>
      <c r="H599" s="709">
        <v>5021</v>
      </c>
      <c r="I599" s="709" t="s">
        <v>883</v>
      </c>
      <c r="J599" s="709">
        <v>63300110</v>
      </c>
      <c r="K599" s="709" t="s">
        <v>1349</v>
      </c>
      <c r="L599" s="712">
        <v>363.39428808748301</v>
      </c>
      <c r="M599" s="712">
        <v>384</v>
      </c>
      <c r="N599" s="712">
        <v>53246.937759336099</v>
      </c>
      <c r="O599" s="712">
        <v>53246.937759336099</v>
      </c>
      <c r="P599" s="712">
        <v>53812.703333623962</v>
      </c>
    </row>
    <row r="600" spans="1:16" hidden="1">
      <c r="A600" s="709" t="s">
        <v>287</v>
      </c>
      <c r="B600" s="709" t="s">
        <v>670</v>
      </c>
      <c r="C600" s="709" t="s">
        <v>917</v>
      </c>
      <c r="D600" s="709" t="s">
        <v>918</v>
      </c>
      <c r="E600" s="709" t="s">
        <v>919</v>
      </c>
      <c r="F600" s="709" t="s">
        <v>920</v>
      </c>
      <c r="G600" s="709" t="s">
        <v>1348</v>
      </c>
      <c r="H600" s="709">
        <v>5019</v>
      </c>
      <c r="I600" s="709" t="s">
        <v>921</v>
      </c>
      <c r="J600" s="709">
        <v>63300110</v>
      </c>
      <c r="K600" s="709" t="s">
        <v>1349</v>
      </c>
      <c r="L600" s="712">
        <v>567.8035751366923</v>
      </c>
      <c r="M600" s="712">
        <v>600.00000000000011</v>
      </c>
      <c r="N600" s="712">
        <v>8368.780487804881</v>
      </c>
      <c r="O600" s="712">
        <v>8368.780487804881</v>
      </c>
      <c r="P600" s="712">
        <v>8457.7014304546174</v>
      </c>
    </row>
    <row r="601" spans="1:16" hidden="1">
      <c r="A601" s="709" t="s">
        <v>542</v>
      </c>
      <c r="B601" s="709" t="s">
        <v>673</v>
      </c>
      <c r="C601" s="709" t="s">
        <v>996</v>
      </c>
      <c r="D601" s="709" t="s">
        <v>997</v>
      </c>
      <c r="E601" s="709" t="s">
        <v>998</v>
      </c>
      <c r="F601" s="709" t="s">
        <v>999</v>
      </c>
      <c r="G601" s="709" t="s">
        <v>1348</v>
      </c>
      <c r="H601" s="709">
        <v>5009</v>
      </c>
      <c r="I601" s="709" t="s">
        <v>991</v>
      </c>
      <c r="J601" s="709">
        <v>63300110</v>
      </c>
      <c r="K601" s="709" t="s">
        <v>1349</v>
      </c>
      <c r="L601" s="712">
        <v>243.85270873537141</v>
      </c>
      <c r="M601" s="712">
        <v>257.68</v>
      </c>
      <c r="N601" s="712">
        <v>202.11117471133178</v>
      </c>
      <c r="O601" s="712">
        <v>202.11117471133178</v>
      </c>
      <c r="P601" s="712">
        <v>204.25866994096125</v>
      </c>
    </row>
    <row r="602" spans="1:16">
      <c r="A602" s="709" t="s">
        <v>133</v>
      </c>
      <c r="B602" s="709" t="s">
        <v>662</v>
      </c>
      <c r="C602" s="709" t="s">
        <v>749</v>
      </c>
      <c r="D602" s="709" t="s">
        <v>750</v>
      </c>
      <c r="E602" s="709" t="s">
        <v>751</v>
      </c>
      <c r="F602" s="709" t="s">
        <v>752</v>
      </c>
      <c r="G602" s="709" t="s">
        <v>753</v>
      </c>
      <c r="H602" s="709">
        <v>5327</v>
      </c>
      <c r="I602" s="709" t="s">
        <v>754</v>
      </c>
      <c r="J602" s="709">
        <v>63300100</v>
      </c>
      <c r="K602" s="709" t="s">
        <v>1350</v>
      </c>
      <c r="L602" s="712">
        <v>32429.836559641735</v>
      </c>
      <c r="M602" s="712">
        <v>34268.720360030798</v>
      </c>
      <c r="N602" s="712">
        <v>35296.781970831726</v>
      </c>
      <c r="O602" s="712">
        <v>36355.685429956684</v>
      </c>
      <c r="P602" s="712">
        <v>36741.976099645042</v>
      </c>
    </row>
    <row r="603" spans="1:16">
      <c r="A603" s="709" t="s">
        <v>133</v>
      </c>
      <c r="B603" s="709" t="s">
        <v>662</v>
      </c>
      <c r="C603" s="709" t="s">
        <v>756</v>
      </c>
      <c r="D603" s="709" t="s">
        <v>757</v>
      </c>
      <c r="E603" s="709" t="s">
        <v>758</v>
      </c>
      <c r="F603" s="709" t="s">
        <v>759</v>
      </c>
      <c r="G603" s="709" t="s">
        <v>753</v>
      </c>
      <c r="H603" s="709">
        <v>5327</v>
      </c>
      <c r="I603" s="709" t="s">
        <v>754</v>
      </c>
      <c r="J603" s="709">
        <v>63300100</v>
      </c>
      <c r="K603" s="709" t="s">
        <v>1350</v>
      </c>
      <c r="L603" s="712">
        <v>2979.9767605773859</v>
      </c>
      <c r="M603" s="712">
        <v>3148.9517407775998</v>
      </c>
      <c r="N603" s="712">
        <v>3243.4202930009278</v>
      </c>
      <c r="O603" s="712">
        <v>3340.7229017909553</v>
      </c>
      <c r="P603" s="712">
        <v>3376.2191404593841</v>
      </c>
    </row>
    <row r="604" spans="1:16">
      <c r="A604" s="709" t="s">
        <v>133</v>
      </c>
      <c r="B604" s="709" t="s">
        <v>662</v>
      </c>
      <c r="C604" s="709" t="s">
        <v>760</v>
      </c>
      <c r="D604" s="709" t="s">
        <v>761</v>
      </c>
      <c r="E604" s="709" t="s">
        <v>762</v>
      </c>
      <c r="F604" s="709" t="s">
        <v>763</v>
      </c>
      <c r="G604" s="709" t="s">
        <v>753</v>
      </c>
      <c r="H604" s="709">
        <v>5327</v>
      </c>
      <c r="I604" s="709" t="s">
        <v>754</v>
      </c>
      <c r="J604" s="709">
        <v>63300100</v>
      </c>
      <c r="K604" s="709" t="s">
        <v>1350</v>
      </c>
      <c r="L604" s="712">
        <v>18453.622909833277</v>
      </c>
      <c r="M604" s="712">
        <v>19500.007098818405</v>
      </c>
      <c r="N604" s="712">
        <v>20085.007311782956</v>
      </c>
      <c r="O604" s="712">
        <v>20687.557531136448</v>
      </c>
      <c r="P604" s="712">
        <v>20907.369380601245</v>
      </c>
    </row>
    <row r="605" spans="1:16">
      <c r="A605" s="709" t="s">
        <v>126</v>
      </c>
      <c r="B605" s="709" t="s">
        <v>663</v>
      </c>
      <c r="C605" s="709" t="s">
        <v>764</v>
      </c>
      <c r="D605" s="709" t="s">
        <v>765</v>
      </c>
      <c r="E605" s="709" t="s">
        <v>766</v>
      </c>
      <c r="F605" s="709" t="s">
        <v>767</v>
      </c>
      <c r="G605" s="709" t="s">
        <v>753</v>
      </c>
      <c r="H605" s="709">
        <v>5325</v>
      </c>
      <c r="I605" s="709" t="s">
        <v>768</v>
      </c>
      <c r="J605" s="709">
        <v>63300100</v>
      </c>
      <c r="K605" s="709" t="s">
        <v>1350</v>
      </c>
      <c r="L605" s="712">
        <v>28417.570547250478</v>
      </c>
      <c r="M605" s="712">
        <v>30028.944999589981</v>
      </c>
      <c r="N605" s="712">
        <v>30929.813349577675</v>
      </c>
      <c r="O605" s="712">
        <v>31857.707750065005</v>
      </c>
      <c r="P605" s="712">
        <v>32196.205982623931</v>
      </c>
    </row>
    <row r="606" spans="1:16">
      <c r="A606" s="709" t="s">
        <v>126</v>
      </c>
      <c r="B606" s="709" t="s">
        <v>663</v>
      </c>
      <c r="C606" s="709" t="s">
        <v>769</v>
      </c>
      <c r="D606" s="709" t="s">
        <v>770</v>
      </c>
      <c r="E606" s="709" t="s">
        <v>771</v>
      </c>
      <c r="F606" s="709" t="s">
        <v>772</v>
      </c>
      <c r="G606" s="709" t="s">
        <v>753</v>
      </c>
      <c r="H606" s="709">
        <v>5325</v>
      </c>
      <c r="I606" s="709" t="s">
        <v>768</v>
      </c>
      <c r="J606" s="709">
        <v>63300100</v>
      </c>
      <c r="K606" s="709" t="s">
        <v>1350</v>
      </c>
      <c r="L606" s="712">
        <v>11348.268318561786</v>
      </c>
      <c r="M606" s="712">
        <v>11991.754348320002</v>
      </c>
      <c r="N606" s="712">
        <v>12351.506978769605</v>
      </c>
      <c r="O606" s="712">
        <v>12722.052188132691</v>
      </c>
      <c r="P606" s="712">
        <v>12857.228021057976</v>
      </c>
    </row>
    <row r="607" spans="1:16">
      <c r="A607" s="709" t="s">
        <v>127</v>
      </c>
      <c r="B607" s="709" t="s">
        <v>663</v>
      </c>
      <c r="C607" s="709" t="s">
        <v>773</v>
      </c>
      <c r="D607" s="709" t="s">
        <v>774</v>
      </c>
      <c r="E607" s="709" t="s">
        <v>775</v>
      </c>
      <c r="F607" s="709" t="s">
        <v>776</v>
      </c>
      <c r="G607" s="709" t="s">
        <v>753</v>
      </c>
      <c r="H607" s="709">
        <v>5325</v>
      </c>
      <c r="I607" s="709" t="s">
        <v>768</v>
      </c>
      <c r="J607" s="709">
        <v>63300100</v>
      </c>
      <c r="K607" s="709" t="s">
        <v>1350</v>
      </c>
      <c r="L607" s="712">
        <v>28417.570547267915</v>
      </c>
      <c r="M607" s="712">
        <v>30028.944999608408</v>
      </c>
      <c r="N607" s="712">
        <v>30929.813349596658</v>
      </c>
      <c r="O607" s="712">
        <v>31857.707750084555</v>
      </c>
      <c r="P607" s="712">
        <v>32196.205982643689</v>
      </c>
    </row>
    <row r="608" spans="1:16">
      <c r="A608" s="709" t="s">
        <v>127</v>
      </c>
      <c r="B608" s="709" t="s">
        <v>663</v>
      </c>
      <c r="C608" s="709" t="s">
        <v>777</v>
      </c>
      <c r="D608" s="709" t="s">
        <v>778</v>
      </c>
      <c r="E608" s="709" t="s">
        <v>779</v>
      </c>
      <c r="F608" s="709" t="s">
        <v>780</v>
      </c>
      <c r="G608" s="709" t="s">
        <v>753</v>
      </c>
      <c r="H608" s="709">
        <v>5325</v>
      </c>
      <c r="I608" s="709" t="s">
        <v>768</v>
      </c>
      <c r="J608" s="709">
        <v>63300100</v>
      </c>
      <c r="K608" s="709" t="s">
        <v>1350</v>
      </c>
      <c r="L608" s="712">
        <v>11276.016931316573</v>
      </c>
      <c r="M608" s="712">
        <v>11915.406057739599</v>
      </c>
      <c r="N608" s="712">
        <v>12272.868239471789</v>
      </c>
      <c r="O608" s="712">
        <v>12641.054286655943</v>
      </c>
      <c r="P608" s="712">
        <v>12775.369491230123</v>
      </c>
    </row>
    <row r="609" spans="1:16">
      <c r="A609" s="709" t="s">
        <v>406</v>
      </c>
      <c r="B609" s="709" t="s">
        <v>664</v>
      </c>
      <c r="C609" s="709" t="s">
        <v>781</v>
      </c>
      <c r="D609" s="709" t="s">
        <v>782</v>
      </c>
      <c r="E609" s="709" t="s">
        <v>783</v>
      </c>
      <c r="F609" s="709" t="s">
        <v>784</v>
      </c>
      <c r="G609" s="709" t="s">
        <v>753</v>
      </c>
      <c r="H609" s="709">
        <v>5240</v>
      </c>
      <c r="I609" s="709" t="s">
        <v>785</v>
      </c>
      <c r="J609" s="709">
        <v>63300100</v>
      </c>
      <c r="K609" s="709" t="s">
        <v>1350</v>
      </c>
      <c r="L609" s="712">
        <v>19014.64038884599</v>
      </c>
      <c r="M609" s="712">
        <v>20092.836207593551</v>
      </c>
      <c r="N609" s="712">
        <v>20695.621293821358</v>
      </c>
      <c r="O609" s="712">
        <v>21316.489932635999</v>
      </c>
      <c r="P609" s="712">
        <v>21542.984388017609</v>
      </c>
    </row>
    <row r="610" spans="1:16">
      <c r="A610" s="709" t="s">
        <v>406</v>
      </c>
      <c r="B610" s="709" t="s">
        <v>664</v>
      </c>
      <c r="C610" s="709" t="s">
        <v>786</v>
      </c>
      <c r="D610" s="709" t="s">
        <v>787</v>
      </c>
      <c r="E610" s="709" t="s">
        <v>788</v>
      </c>
      <c r="F610" s="709" t="s">
        <v>789</v>
      </c>
      <c r="G610" s="709" t="s">
        <v>753</v>
      </c>
      <c r="H610" s="709">
        <v>5240</v>
      </c>
      <c r="I610" s="709" t="s">
        <v>785</v>
      </c>
      <c r="J610" s="709">
        <v>63300100</v>
      </c>
      <c r="K610" s="709" t="s">
        <v>1350</v>
      </c>
      <c r="L610" s="712">
        <v>46597.168324555823</v>
      </c>
      <c r="M610" s="712">
        <v>49239.388793920247</v>
      </c>
      <c r="N610" s="712">
        <v>50716.570457737849</v>
      </c>
      <c r="O610" s="712">
        <v>52238.067571469983</v>
      </c>
      <c r="P610" s="712">
        <v>52793.113580553931</v>
      </c>
    </row>
    <row r="611" spans="1:16">
      <c r="A611" s="709" t="s">
        <v>406</v>
      </c>
      <c r="B611" s="709" t="s">
        <v>664</v>
      </c>
      <c r="C611" s="709" t="s">
        <v>790</v>
      </c>
      <c r="D611" s="709" t="s">
        <v>791</v>
      </c>
      <c r="E611" s="709" t="s">
        <v>792</v>
      </c>
      <c r="F611" s="709" t="s">
        <v>793</v>
      </c>
      <c r="G611" s="709" t="s">
        <v>753</v>
      </c>
      <c r="H611" s="709">
        <v>5240</v>
      </c>
      <c r="I611" s="709" t="s">
        <v>785</v>
      </c>
      <c r="J611" s="709">
        <v>63300100</v>
      </c>
      <c r="K611" s="709" t="s">
        <v>1350</v>
      </c>
      <c r="L611" s="712">
        <v>29384.500632879666</v>
      </c>
      <c r="M611" s="712">
        <v>31050.703362484837</v>
      </c>
      <c r="N611" s="712">
        <v>31982.224463359387</v>
      </c>
      <c r="O611" s="712">
        <v>32941.691197260167</v>
      </c>
      <c r="P611" s="712">
        <v>33291.707097187922</v>
      </c>
    </row>
    <row r="612" spans="1:16">
      <c r="A612" s="709" t="s">
        <v>406</v>
      </c>
      <c r="B612" s="709" t="s">
        <v>664</v>
      </c>
      <c r="C612" s="709" t="s">
        <v>794</v>
      </c>
      <c r="D612" s="709" t="s">
        <v>795</v>
      </c>
      <c r="E612" s="709" t="s">
        <v>796</v>
      </c>
      <c r="F612" s="709" t="s">
        <v>797</v>
      </c>
      <c r="G612" s="709" t="s">
        <v>753</v>
      </c>
      <c r="H612" s="709">
        <v>5240</v>
      </c>
      <c r="I612" s="709" t="s">
        <v>785</v>
      </c>
      <c r="J612" s="709">
        <v>63300100</v>
      </c>
      <c r="K612" s="709" t="s">
        <v>1350</v>
      </c>
      <c r="L612" s="712">
        <v>14455.45593851981</v>
      </c>
      <c r="M612" s="712">
        <v>15275.130243806399</v>
      </c>
      <c r="N612" s="712">
        <v>15733.38415112059</v>
      </c>
      <c r="O612" s="712">
        <v>16205.38567565421</v>
      </c>
      <c r="P612" s="712">
        <v>16377.573029878824</v>
      </c>
    </row>
    <row r="613" spans="1:16">
      <c r="A613" s="709" t="s">
        <v>406</v>
      </c>
      <c r="B613" s="709" t="s">
        <v>664</v>
      </c>
      <c r="C613" s="709" t="s">
        <v>798</v>
      </c>
      <c r="D613" s="709" t="s">
        <v>799</v>
      </c>
      <c r="E613" s="709" t="s">
        <v>800</v>
      </c>
      <c r="F613" s="709" t="s">
        <v>801</v>
      </c>
      <c r="G613" s="709" t="s">
        <v>753</v>
      </c>
      <c r="H613" s="709">
        <v>5240</v>
      </c>
      <c r="I613" s="709" t="s">
        <v>785</v>
      </c>
      <c r="J613" s="709">
        <v>63300100</v>
      </c>
      <c r="K613" s="709" t="s">
        <v>1350</v>
      </c>
      <c r="L613" s="712">
        <v>55047.208027428642</v>
      </c>
      <c r="M613" s="712">
        <v>58168.574948662477</v>
      </c>
      <c r="N613" s="712">
        <v>59913.632197122351</v>
      </c>
      <c r="O613" s="712">
        <v>61711.041163036025</v>
      </c>
      <c r="P613" s="712">
        <v>62366.740516138925</v>
      </c>
    </row>
    <row r="614" spans="1:16">
      <c r="A614" s="709" t="s">
        <v>593</v>
      </c>
      <c r="B614" s="709" t="s">
        <v>665</v>
      </c>
      <c r="C614" s="709" t="s">
        <v>802</v>
      </c>
      <c r="D614" s="709" t="s">
        <v>803</v>
      </c>
      <c r="E614" s="709" t="s">
        <v>804</v>
      </c>
      <c r="F614" s="709" t="s">
        <v>805</v>
      </c>
      <c r="G614" s="709" t="s">
        <v>753</v>
      </c>
      <c r="H614" s="709">
        <v>5150</v>
      </c>
      <c r="I614" s="709" t="s">
        <v>806</v>
      </c>
      <c r="J614" s="709">
        <v>63300100</v>
      </c>
      <c r="K614" s="709" t="s">
        <v>1350</v>
      </c>
      <c r="L614" s="712">
        <v>33195.023886247633</v>
      </c>
      <c r="M614" s="712">
        <v>35077.296452305338</v>
      </c>
      <c r="N614" s="712">
        <v>36129.615345874503</v>
      </c>
      <c r="O614" s="712">
        <v>37213.50380625073</v>
      </c>
      <c r="P614" s="712">
        <v>37608.909067814631</v>
      </c>
    </row>
    <row r="615" spans="1:16">
      <c r="A615" s="709" t="s">
        <v>593</v>
      </c>
      <c r="B615" s="709" t="s">
        <v>665</v>
      </c>
      <c r="C615" s="709" t="s">
        <v>807</v>
      </c>
      <c r="D615" s="709" t="s">
        <v>808</v>
      </c>
      <c r="E615" s="709" t="s">
        <v>809</v>
      </c>
      <c r="F615" s="709" t="s">
        <v>810</v>
      </c>
      <c r="G615" s="709" t="s">
        <v>753</v>
      </c>
      <c r="H615" s="709">
        <v>5150</v>
      </c>
      <c r="I615" s="709" t="s">
        <v>806</v>
      </c>
      <c r="J615" s="709">
        <v>63300100</v>
      </c>
      <c r="K615" s="709" t="s">
        <v>1350</v>
      </c>
      <c r="L615" s="712">
        <v>77445.749214019961</v>
      </c>
      <c r="M615" s="712">
        <v>81837.190822945195</v>
      </c>
      <c r="N615" s="712">
        <v>84292.306547633547</v>
      </c>
      <c r="O615" s="712">
        <v>86821.075744062546</v>
      </c>
      <c r="P615" s="712">
        <v>87743.577165658702</v>
      </c>
    </row>
    <row r="616" spans="1:16">
      <c r="A616" s="709" t="s">
        <v>593</v>
      </c>
      <c r="B616" s="709" t="s">
        <v>665</v>
      </c>
      <c r="C616" s="709" t="s">
        <v>811</v>
      </c>
      <c r="D616" s="709" t="s">
        <v>812</v>
      </c>
      <c r="E616" s="709" t="s">
        <v>813</v>
      </c>
      <c r="F616" s="709" t="s">
        <v>814</v>
      </c>
      <c r="G616" s="709" t="s">
        <v>753</v>
      </c>
      <c r="H616" s="709">
        <v>5150</v>
      </c>
      <c r="I616" s="709" t="s">
        <v>806</v>
      </c>
      <c r="J616" s="709">
        <v>63300100</v>
      </c>
      <c r="K616" s="709" t="s">
        <v>1350</v>
      </c>
      <c r="L616" s="712">
        <v>4866.6560926641978</v>
      </c>
      <c r="M616" s="712">
        <v>5142.6123107723715</v>
      </c>
      <c r="N616" s="712">
        <v>5296.8906800955428</v>
      </c>
      <c r="O616" s="712">
        <v>5455.7974004984089</v>
      </c>
      <c r="P616" s="712">
        <v>5513.7669754520412</v>
      </c>
    </row>
    <row r="617" spans="1:16">
      <c r="A617" s="709" t="s">
        <v>593</v>
      </c>
      <c r="B617" s="709" t="s">
        <v>665</v>
      </c>
      <c r="C617" s="709" t="s">
        <v>815</v>
      </c>
      <c r="D617" s="709" t="s">
        <v>816</v>
      </c>
      <c r="E617" s="709" t="s">
        <v>817</v>
      </c>
      <c r="F617" s="709" t="s">
        <v>818</v>
      </c>
      <c r="G617" s="709" t="s">
        <v>753</v>
      </c>
      <c r="H617" s="709">
        <v>5150</v>
      </c>
      <c r="I617" s="709" t="s">
        <v>806</v>
      </c>
      <c r="J617" s="709">
        <v>63300100</v>
      </c>
      <c r="K617" s="709" t="s">
        <v>1350</v>
      </c>
      <c r="L617" s="712">
        <v>152369.65730793931</v>
      </c>
      <c r="M617" s="712">
        <v>161009.54341957928</v>
      </c>
      <c r="N617" s="712">
        <v>165839.8297221667</v>
      </c>
      <c r="O617" s="712">
        <v>170815.02461383166</v>
      </c>
      <c r="P617" s="712">
        <v>172629.98833877742</v>
      </c>
    </row>
    <row r="618" spans="1:16">
      <c r="A618" s="709" t="s">
        <v>593</v>
      </c>
      <c r="B618" s="709" t="s">
        <v>665</v>
      </c>
      <c r="C618" s="709" t="s">
        <v>819</v>
      </c>
      <c r="D618" s="709" t="s">
        <v>820</v>
      </c>
      <c r="E618" s="709" t="s">
        <v>821</v>
      </c>
      <c r="F618" s="709" t="s">
        <v>822</v>
      </c>
      <c r="G618" s="709" t="s">
        <v>753</v>
      </c>
      <c r="H618" s="709">
        <v>5150</v>
      </c>
      <c r="I618" s="709" t="s">
        <v>806</v>
      </c>
      <c r="J618" s="709">
        <v>63300100</v>
      </c>
      <c r="K618" s="709" t="s">
        <v>1350</v>
      </c>
      <c r="L618" s="712">
        <v>101208.72953237772</v>
      </c>
      <c r="M618" s="712">
        <v>106947.61424284398</v>
      </c>
      <c r="N618" s="712">
        <v>110156.04267012927</v>
      </c>
      <c r="O618" s="712">
        <v>113460.72395023316</v>
      </c>
      <c r="P618" s="712">
        <v>114666.28006944052</v>
      </c>
    </row>
    <row r="619" spans="1:16">
      <c r="A619" s="709" t="s">
        <v>593</v>
      </c>
      <c r="B619" s="709" t="s">
        <v>666</v>
      </c>
      <c r="C619" s="709" t="s">
        <v>823</v>
      </c>
      <c r="D619" s="709" t="s">
        <v>824</v>
      </c>
      <c r="E619" s="709" t="s">
        <v>825</v>
      </c>
      <c r="F619" s="709" t="s">
        <v>826</v>
      </c>
      <c r="G619" s="709" t="s">
        <v>753</v>
      </c>
      <c r="H619" s="709">
        <v>5031</v>
      </c>
      <c r="I619" s="709" t="s">
        <v>827</v>
      </c>
      <c r="J619" s="709">
        <v>63300100</v>
      </c>
      <c r="K619" s="709" t="s">
        <v>1350</v>
      </c>
      <c r="L619" s="712">
        <v>36909.076093946802</v>
      </c>
      <c r="M619" s="712">
        <v>39001.948254793606</v>
      </c>
      <c r="N619" s="712">
        <v>40172.006702437415</v>
      </c>
      <c r="O619" s="712">
        <v>41377.166903510537</v>
      </c>
      <c r="P619" s="712">
        <v>41816.812403902994</v>
      </c>
    </row>
    <row r="620" spans="1:16">
      <c r="A620" s="709" t="s">
        <v>397</v>
      </c>
      <c r="B620" s="709" t="s">
        <v>666</v>
      </c>
      <c r="C620" s="709" t="s">
        <v>828</v>
      </c>
      <c r="D620" s="709" t="s">
        <v>829</v>
      </c>
      <c r="E620" s="709" t="s">
        <v>830</v>
      </c>
      <c r="F620" s="709" t="s">
        <v>831</v>
      </c>
      <c r="G620" s="709" t="s">
        <v>753</v>
      </c>
      <c r="H620" s="709">
        <v>5031</v>
      </c>
      <c r="I620" s="709" t="s">
        <v>827</v>
      </c>
      <c r="J620" s="709">
        <v>63300100</v>
      </c>
      <c r="K620" s="709" t="s">
        <v>1350</v>
      </c>
      <c r="L620" s="712">
        <v>5094.8799616470733</v>
      </c>
      <c r="M620" s="712">
        <v>5383.7772617974861</v>
      </c>
      <c r="N620" s="712">
        <v>5545.2905796514096</v>
      </c>
      <c r="O620" s="712">
        <v>5711.6492970409527</v>
      </c>
      <c r="P620" s="712">
        <v>5772.3373794106219</v>
      </c>
    </row>
    <row r="621" spans="1:16">
      <c r="A621" s="709" t="s">
        <v>593</v>
      </c>
      <c r="B621" s="709" t="s">
        <v>666</v>
      </c>
      <c r="C621" s="709" t="s">
        <v>832</v>
      </c>
      <c r="D621" s="709" t="s">
        <v>833</v>
      </c>
      <c r="E621" s="709" t="s">
        <v>834</v>
      </c>
      <c r="F621" s="709" t="s">
        <v>835</v>
      </c>
      <c r="G621" s="709" t="s">
        <v>753</v>
      </c>
      <c r="H621" s="709">
        <v>5031</v>
      </c>
      <c r="I621" s="709" t="s">
        <v>827</v>
      </c>
      <c r="J621" s="709">
        <v>63300100</v>
      </c>
      <c r="K621" s="709" t="s">
        <v>1350</v>
      </c>
      <c r="L621" s="712">
        <v>6887.9655832133758</v>
      </c>
      <c r="M621" s="712">
        <v>7278.5370344543999</v>
      </c>
      <c r="N621" s="712">
        <v>7496.8931454880321</v>
      </c>
      <c r="O621" s="712">
        <v>7721.7999398526736</v>
      </c>
      <c r="P621" s="712">
        <v>7803.8465093146087</v>
      </c>
    </row>
    <row r="622" spans="1:16">
      <c r="A622" s="709" t="s">
        <v>398</v>
      </c>
      <c r="B622" s="709" t="s">
        <v>667</v>
      </c>
      <c r="C622" s="709" t="s">
        <v>836</v>
      </c>
      <c r="D622" s="709" t="s">
        <v>837</v>
      </c>
      <c r="E622" s="709" t="s">
        <v>838</v>
      </c>
      <c r="F622" s="709" t="s">
        <v>839</v>
      </c>
      <c r="G622" s="709" t="s">
        <v>753</v>
      </c>
      <c r="H622" s="709">
        <v>5025</v>
      </c>
      <c r="I622" s="709" t="s">
        <v>840</v>
      </c>
      <c r="J622" s="709">
        <v>63300100</v>
      </c>
      <c r="K622" s="709" t="s">
        <v>1350</v>
      </c>
      <c r="L622" s="712">
        <v>37592.504945343673</v>
      </c>
      <c r="M622" s="712">
        <v>39724.129883782829</v>
      </c>
      <c r="N622" s="712">
        <v>40915.853780296311</v>
      </c>
      <c r="O622" s="712">
        <v>42143.3293937052</v>
      </c>
      <c r="P622" s="712">
        <v>42591.11561316064</v>
      </c>
    </row>
    <row r="623" spans="1:16">
      <c r="A623" s="709" t="s">
        <v>398</v>
      </c>
      <c r="B623" s="709" t="s">
        <v>667</v>
      </c>
      <c r="C623" s="709" t="s">
        <v>841</v>
      </c>
      <c r="D623" s="709" t="s">
        <v>842</v>
      </c>
      <c r="E623" s="709" t="s">
        <v>843</v>
      </c>
      <c r="F623" s="709" t="s">
        <v>844</v>
      </c>
      <c r="G623" s="709" t="s">
        <v>753</v>
      </c>
      <c r="H623" s="709">
        <v>5025</v>
      </c>
      <c r="I623" s="709" t="s">
        <v>840</v>
      </c>
      <c r="J623" s="709">
        <v>63300100</v>
      </c>
      <c r="K623" s="709" t="s">
        <v>1350</v>
      </c>
      <c r="L623" s="712">
        <v>950.73727713412416</v>
      </c>
      <c r="M623" s="712">
        <v>1004.6473662007976</v>
      </c>
      <c r="N623" s="712">
        <v>1034.7867871868216</v>
      </c>
      <c r="O623" s="712">
        <v>1065.8303908024263</v>
      </c>
      <c r="P623" s="712">
        <v>1077.155176198936</v>
      </c>
    </row>
    <row r="624" spans="1:16">
      <c r="A624" s="709" t="s">
        <v>398</v>
      </c>
      <c r="B624" s="709" t="s">
        <v>667</v>
      </c>
      <c r="C624" s="709" t="s">
        <v>845</v>
      </c>
      <c r="D624" s="709" t="s">
        <v>846</v>
      </c>
      <c r="E624" s="709" t="s">
        <v>847</v>
      </c>
      <c r="F624" s="709" t="s">
        <v>848</v>
      </c>
      <c r="G624" s="709" t="s">
        <v>753</v>
      </c>
      <c r="H624" s="709">
        <v>5025</v>
      </c>
      <c r="I624" s="709" t="s">
        <v>840</v>
      </c>
      <c r="J624" s="709">
        <v>63300100</v>
      </c>
      <c r="K624" s="709" t="s">
        <v>1350</v>
      </c>
      <c r="L624" s="712">
        <v>933.47156891394809</v>
      </c>
      <c r="M624" s="712">
        <v>986.40263265960471</v>
      </c>
      <c r="N624" s="712">
        <v>1015.994711639393</v>
      </c>
      <c r="O624" s="712">
        <v>1046.4745529885747</v>
      </c>
      <c r="P624" s="712">
        <v>1057.5936764793037</v>
      </c>
    </row>
    <row r="625" spans="1:16">
      <c r="A625" s="709" t="s">
        <v>398</v>
      </c>
      <c r="B625" s="709" t="s">
        <v>667</v>
      </c>
      <c r="C625" s="709" t="s">
        <v>849</v>
      </c>
      <c r="D625" s="709" t="s">
        <v>850</v>
      </c>
      <c r="E625" s="709" t="s">
        <v>851</v>
      </c>
      <c r="F625" s="709" t="s">
        <v>852</v>
      </c>
      <c r="G625" s="709" t="s">
        <v>753</v>
      </c>
      <c r="H625" s="709">
        <v>5025</v>
      </c>
      <c r="I625" s="709" t="s">
        <v>840</v>
      </c>
      <c r="J625" s="709">
        <v>63300100</v>
      </c>
      <c r="K625" s="709" t="s">
        <v>1350</v>
      </c>
      <c r="L625" s="712">
        <v>17140.732023203484</v>
      </c>
      <c r="M625" s="712">
        <v>18112.670761972975</v>
      </c>
      <c r="N625" s="712">
        <v>18656.050884832159</v>
      </c>
      <c r="O625" s="712">
        <v>19215.732411377125</v>
      </c>
      <c r="P625" s="712">
        <v>19419.905652892379</v>
      </c>
    </row>
    <row r="626" spans="1:16">
      <c r="A626" s="709" t="s">
        <v>398</v>
      </c>
      <c r="B626" s="709" t="s">
        <v>667</v>
      </c>
      <c r="C626" s="709" t="s">
        <v>853</v>
      </c>
      <c r="D626" s="709" t="s">
        <v>854</v>
      </c>
      <c r="E626" s="709" t="s">
        <v>855</v>
      </c>
      <c r="F626" s="709" t="s">
        <v>856</v>
      </c>
      <c r="G626" s="709" t="s">
        <v>753</v>
      </c>
      <c r="H626" s="709">
        <v>5025</v>
      </c>
      <c r="I626" s="709" t="s">
        <v>840</v>
      </c>
      <c r="J626" s="709">
        <v>63300100</v>
      </c>
      <c r="K626" s="709" t="s">
        <v>1350</v>
      </c>
      <c r="L626" s="712">
        <v>1098.2080969973003</v>
      </c>
      <c r="M626" s="712">
        <v>1160.4802911636327</v>
      </c>
      <c r="N626" s="712">
        <v>1195.2946998985415</v>
      </c>
      <c r="O626" s="712">
        <v>1231.1535408954978</v>
      </c>
      <c r="P626" s="712">
        <v>1244.2349371111732</v>
      </c>
    </row>
    <row r="627" spans="1:16">
      <c r="A627" s="709" t="s">
        <v>398</v>
      </c>
      <c r="B627" s="709" t="s">
        <v>667</v>
      </c>
      <c r="C627" s="709" t="s">
        <v>857</v>
      </c>
      <c r="D627" s="709" t="s">
        <v>858</v>
      </c>
      <c r="E627" s="709" t="s">
        <v>859</v>
      </c>
      <c r="F627" s="709" t="s">
        <v>860</v>
      </c>
      <c r="G627" s="709" t="s">
        <v>753</v>
      </c>
      <c r="H627" s="709">
        <v>5025</v>
      </c>
      <c r="I627" s="709" t="s">
        <v>840</v>
      </c>
      <c r="J627" s="709">
        <v>63300100</v>
      </c>
      <c r="K627" s="709" t="s">
        <v>1350</v>
      </c>
      <c r="L627" s="712">
        <v>11226.047957003053</v>
      </c>
      <c r="M627" s="712">
        <v>11862.603669905226</v>
      </c>
      <c r="N627" s="712">
        <v>12218.481780002385</v>
      </c>
      <c r="O627" s="712">
        <v>12585.036233402456</v>
      </c>
      <c r="P627" s="712">
        <v>12718.756228422753</v>
      </c>
    </row>
    <row r="628" spans="1:16">
      <c r="A628" s="709" t="s">
        <v>398</v>
      </c>
      <c r="B628" s="709" t="s">
        <v>667</v>
      </c>
      <c r="C628" s="709" t="s">
        <v>861</v>
      </c>
      <c r="D628" s="709" t="s">
        <v>862</v>
      </c>
      <c r="E628" s="709" t="s">
        <v>863</v>
      </c>
      <c r="F628" s="709" t="s">
        <v>864</v>
      </c>
      <c r="G628" s="709" t="s">
        <v>753</v>
      </c>
      <c r="H628" s="709">
        <v>5025</v>
      </c>
      <c r="I628" s="709" t="s">
        <v>840</v>
      </c>
      <c r="J628" s="709">
        <v>63300100</v>
      </c>
      <c r="K628" s="709" t="s">
        <v>1350</v>
      </c>
      <c r="L628" s="712">
        <v>121775.16400546311</v>
      </c>
      <c r="M628" s="712">
        <v>128680.23662177239</v>
      </c>
      <c r="N628" s="712">
        <v>132540.64372042555</v>
      </c>
      <c r="O628" s="712">
        <v>136516.86303203832</v>
      </c>
      <c r="P628" s="712">
        <v>137967.39792969552</v>
      </c>
    </row>
    <row r="629" spans="1:16">
      <c r="A629" s="709" t="s">
        <v>398</v>
      </c>
      <c r="B629" s="709" t="s">
        <v>667</v>
      </c>
      <c r="C629" s="709" t="s">
        <v>865</v>
      </c>
      <c r="D629" s="709" t="s">
        <v>866</v>
      </c>
      <c r="E629" s="709" t="s">
        <v>867</v>
      </c>
      <c r="F629" s="709" t="s">
        <v>868</v>
      </c>
      <c r="G629" s="709" t="s">
        <v>753</v>
      </c>
      <c r="H629" s="709">
        <v>5025</v>
      </c>
      <c r="I629" s="709" t="s">
        <v>840</v>
      </c>
      <c r="J629" s="709">
        <v>63300100</v>
      </c>
      <c r="K629" s="709" t="s">
        <v>1350</v>
      </c>
      <c r="L629" s="712">
        <v>969.95873668082515</v>
      </c>
      <c r="M629" s="712">
        <v>1024.9587489271994</v>
      </c>
      <c r="N629" s="712">
        <v>1055.7075113950152</v>
      </c>
      <c r="O629" s="712">
        <v>1087.3787367368659</v>
      </c>
      <c r="P629" s="712">
        <v>1098.9324801321934</v>
      </c>
    </row>
    <row r="630" spans="1:16">
      <c r="A630" s="709" t="s">
        <v>398</v>
      </c>
      <c r="B630" s="709" t="s">
        <v>667</v>
      </c>
      <c r="C630" s="709" t="s">
        <v>869</v>
      </c>
      <c r="D630" s="709" t="s">
        <v>870</v>
      </c>
      <c r="E630" s="709" t="s">
        <v>871</v>
      </c>
      <c r="F630" s="709" t="s">
        <v>872</v>
      </c>
      <c r="G630" s="709" t="s">
        <v>753</v>
      </c>
      <c r="H630" s="709">
        <v>5025</v>
      </c>
      <c r="I630" s="709" t="s">
        <v>840</v>
      </c>
      <c r="J630" s="709">
        <v>63300100</v>
      </c>
      <c r="K630" s="709" t="s">
        <v>1350</v>
      </c>
      <c r="L630" s="712">
        <v>485.95643799419247</v>
      </c>
      <c r="M630" s="712">
        <v>513.51184734319861</v>
      </c>
      <c r="N630" s="712">
        <v>528.91720276349463</v>
      </c>
      <c r="O630" s="712">
        <v>544.78471884639941</v>
      </c>
      <c r="P630" s="712">
        <v>550.57322898973325</v>
      </c>
    </row>
    <row r="631" spans="1:16">
      <c r="A631" s="709" t="s">
        <v>397</v>
      </c>
      <c r="B631" s="709" t="s">
        <v>873</v>
      </c>
      <c r="C631" s="709" t="s">
        <v>874</v>
      </c>
      <c r="D631" s="709" t="s">
        <v>875</v>
      </c>
      <c r="E631" s="709" t="s">
        <v>876</v>
      </c>
      <c r="F631" s="709" t="s">
        <v>877</v>
      </c>
      <c r="G631" s="709" t="s">
        <v>753</v>
      </c>
      <c r="H631" s="709">
        <v>5024</v>
      </c>
      <c r="I631" s="709" t="s">
        <v>878</v>
      </c>
      <c r="J631" s="709">
        <v>63300100</v>
      </c>
      <c r="K631" s="709" t="s">
        <v>1350</v>
      </c>
      <c r="L631" s="712">
        <v>22342.209344822844</v>
      </c>
      <c r="M631" s="712">
        <v>23609.089822420596</v>
      </c>
      <c r="N631" s="712">
        <v>24317.36251709321</v>
      </c>
      <c r="O631" s="712">
        <v>25046.883392606011</v>
      </c>
      <c r="P631" s="712">
        <v>25313.014459725531</v>
      </c>
    </row>
    <row r="632" spans="1:16">
      <c r="A632" s="709" t="s">
        <v>399</v>
      </c>
      <c r="B632" s="709" t="s">
        <v>668</v>
      </c>
      <c r="C632" s="709" t="s">
        <v>879</v>
      </c>
      <c r="D632" s="709" t="s">
        <v>880</v>
      </c>
      <c r="E632" s="709" t="s">
        <v>881</v>
      </c>
      <c r="F632" s="709" t="s">
        <v>882</v>
      </c>
      <c r="G632" s="709" t="s">
        <v>753</v>
      </c>
      <c r="H632" s="709">
        <v>5021</v>
      </c>
      <c r="I632" s="709" t="s">
        <v>883</v>
      </c>
      <c r="J632" s="709">
        <v>63300100</v>
      </c>
      <c r="K632" s="709" t="s">
        <v>1350</v>
      </c>
      <c r="L632" s="712">
        <v>4405.4309752838508</v>
      </c>
      <c r="M632" s="712">
        <v>4655.2341353855982</v>
      </c>
      <c r="N632" s="712">
        <v>4794.8911594471665</v>
      </c>
      <c r="O632" s="712">
        <v>4938.7378942305813</v>
      </c>
      <c r="P632" s="712">
        <v>4991.2135482036902</v>
      </c>
    </row>
    <row r="633" spans="1:16">
      <c r="A633" s="709" t="s">
        <v>399</v>
      </c>
      <c r="B633" s="709" t="s">
        <v>668</v>
      </c>
      <c r="C633" s="709" t="s">
        <v>884</v>
      </c>
      <c r="D633" s="709" t="s">
        <v>885</v>
      </c>
      <c r="E633" s="709" t="s">
        <v>886</v>
      </c>
      <c r="F633" s="709" t="s">
        <v>887</v>
      </c>
      <c r="G633" s="709" t="s">
        <v>753</v>
      </c>
      <c r="H633" s="709">
        <v>5021</v>
      </c>
      <c r="I633" s="709" t="s">
        <v>883</v>
      </c>
      <c r="J633" s="709">
        <v>63300100</v>
      </c>
      <c r="K633" s="709" t="s">
        <v>1350</v>
      </c>
      <c r="L633" s="712">
        <v>14788.595277482669</v>
      </c>
      <c r="M633" s="712">
        <v>15627.159734514689</v>
      </c>
      <c r="N633" s="712">
        <v>16095.97452655013</v>
      </c>
      <c r="O633" s="712">
        <v>16578.853762346636</v>
      </c>
      <c r="P633" s="712">
        <v>16755.009333250691</v>
      </c>
    </row>
    <row r="634" spans="1:16">
      <c r="A634" s="709" t="s">
        <v>399</v>
      </c>
      <c r="B634" s="709" t="s">
        <v>668</v>
      </c>
      <c r="C634" s="709" t="s">
        <v>888</v>
      </c>
      <c r="D634" s="709" t="s">
        <v>889</v>
      </c>
      <c r="E634" s="709" t="s">
        <v>890</v>
      </c>
      <c r="F634" s="709" t="s">
        <v>891</v>
      </c>
      <c r="G634" s="709" t="s">
        <v>753</v>
      </c>
      <c r="H634" s="709">
        <v>5021</v>
      </c>
      <c r="I634" s="709" t="s">
        <v>883</v>
      </c>
      <c r="J634" s="709">
        <v>63300100</v>
      </c>
      <c r="K634" s="709" t="s">
        <v>1350</v>
      </c>
      <c r="L634" s="712">
        <v>9361.5400593864761</v>
      </c>
      <c r="M634" s="712">
        <v>9892.3717313327525</v>
      </c>
      <c r="N634" s="712">
        <v>10189.142883272734</v>
      </c>
      <c r="O634" s="712">
        <v>10494.817169770917</v>
      </c>
      <c r="P634" s="712">
        <v>10606.327925374144</v>
      </c>
    </row>
    <row r="635" spans="1:16">
      <c r="A635" s="709" t="s">
        <v>399</v>
      </c>
      <c r="B635" s="709" t="s">
        <v>668</v>
      </c>
      <c r="C635" s="709" t="s">
        <v>892</v>
      </c>
      <c r="D635" s="709" t="s">
        <v>893</v>
      </c>
      <c r="E635" s="709" t="s">
        <v>894</v>
      </c>
      <c r="F635" s="709" t="s">
        <v>895</v>
      </c>
      <c r="G635" s="709" t="s">
        <v>753</v>
      </c>
      <c r="H635" s="709">
        <v>5021</v>
      </c>
      <c r="I635" s="709" t="s">
        <v>883</v>
      </c>
      <c r="J635" s="709">
        <v>63300100</v>
      </c>
      <c r="K635" s="709" t="s">
        <v>1350</v>
      </c>
      <c r="L635" s="712">
        <v>138852.33667229905</v>
      </c>
      <c r="M635" s="712">
        <v>146725.74399223036</v>
      </c>
      <c r="N635" s="712">
        <v>151127.51631199729</v>
      </c>
      <c r="O635" s="712">
        <v>155661.34180135716</v>
      </c>
      <c r="P635" s="712">
        <v>157315.29284802036</v>
      </c>
    </row>
    <row r="636" spans="1:16">
      <c r="A636" s="709" t="s">
        <v>399</v>
      </c>
      <c r="B636" s="709" t="s">
        <v>668</v>
      </c>
      <c r="C636" s="709" t="s">
        <v>896</v>
      </c>
      <c r="D636" s="709" t="s">
        <v>897</v>
      </c>
      <c r="E636" s="709" t="s">
        <v>898</v>
      </c>
      <c r="F636" s="709" t="s">
        <v>899</v>
      </c>
      <c r="G636" s="709" t="s">
        <v>753</v>
      </c>
      <c r="H636" s="709">
        <v>5021</v>
      </c>
      <c r="I636" s="709" t="s">
        <v>883</v>
      </c>
      <c r="J636" s="709">
        <v>63300100</v>
      </c>
      <c r="K636" s="709" t="s">
        <v>1350</v>
      </c>
      <c r="L636" s="712">
        <v>58921.393394020146</v>
      </c>
      <c r="M636" s="712">
        <v>62262.440013522806</v>
      </c>
      <c r="N636" s="712">
        <v>64130.313213928493</v>
      </c>
      <c r="O636" s="712">
        <v>66054.222610346347</v>
      </c>
      <c r="P636" s="712">
        <v>66756.069641591414</v>
      </c>
    </row>
    <row r="637" spans="1:16">
      <c r="A637" s="709" t="s">
        <v>399</v>
      </c>
      <c r="B637" s="709" t="s">
        <v>668</v>
      </c>
      <c r="C637" s="709" t="s">
        <v>900</v>
      </c>
      <c r="D637" s="709" t="s">
        <v>901</v>
      </c>
      <c r="E637" s="709" t="s">
        <v>902</v>
      </c>
      <c r="F637" s="709" t="s">
        <v>903</v>
      </c>
      <c r="G637" s="709" t="s">
        <v>753</v>
      </c>
      <c r="H637" s="709">
        <v>5021</v>
      </c>
      <c r="I637" s="709" t="s">
        <v>883</v>
      </c>
      <c r="J637" s="709">
        <v>63300100</v>
      </c>
      <c r="K637" s="709" t="s">
        <v>1350</v>
      </c>
      <c r="L637" s="712">
        <v>1087.2410538803019</v>
      </c>
      <c r="M637" s="712">
        <v>1148.891378803201</v>
      </c>
      <c r="N637" s="712">
        <v>1183.3581201672971</v>
      </c>
      <c r="O637" s="712">
        <v>1218.8588637723158</v>
      </c>
      <c r="P637" s="712">
        <v>1231.8096251504587</v>
      </c>
    </row>
    <row r="638" spans="1:16">
      <c r="A638" s="709" t="s">
        <v>407</v>
      </c>
      <c r="B638" s="709" t="s">
        <v>669</v>
      </c>
      <c r="C638" s="709" t="s">
        <v>904</v>
      </c>
      <c r="D638" s="709" t="s">
        <v>905</v>
      </c>
      <c r="E638" s="709" t="s">
        <v>906</v>
      </c>
      <c r="F638" s="709" t="s">
        <v>907</v>
      </c>
      <c r="G638" s="709" t="s">
        <v>753</v>
      </c>
      <c r="H638" s="709">
        <v>5020</v>
      </c>
      <c r="I638" s="709" t="s">
        <v>908</v>
      </c>
      <c r="J638" s="709">
        <v>63300100</v>
      </c>
      <c r="K638" s="709" t="s">
        <v>1350</v>
      </c>
      <c r="L638" s="712">
        <v>37624.264025820637</v>
      </c>
      <c r="M638" s="712">
        <v>39757.68981387237</v>
      </c>
      <c r="N638" s="712">
        <v>40950.420508288546</v>
      </c>
      <c r="O638" s="712">
        <v>42178.933123537194</v>
      </c>
      <c r="P638" s="712">
        <v>42627.097643895984</v>
      </c>
    </row>
    <row r="639" spans="1:16">
      <c r="A639" s="709" t="s">
        <v>405</v>
      </c>
      <c r="B639" s="709" t="s">
        <v>669</v>
      </c>
      <c r="C639" s="709" t="s">
        <v>909</v>
      </c>
      <c r="D639" s="709" t="s">
        <v>910</v>
      </c>
      <c r="E639" s="709" t="s">
        <v>911</v>
      </c>
      <c r="F639" s="709" t="s">
        <v>912</v>
      </c>
      <c r="G639" s="709" t="s">
        <v>753</v>
      </c>
      <c r="H639" s="709">
        <v>5020</v>
      </c>
      <c r="I639" s="709" t="s">
        <v>908</v>
      </c>
      <c r="J639" s="709">
        <v>63300100</v>
      </c>
      <c r="K639" s="709" t="s">
        <v>1350</v>
      </c>
      <c r="L639" s="712">
        <v>8006.2364612823312</v>
      </c>
      <c r="M639" s="712">
        <v>8460.2177357071996</v>
      </c>
      <c r="N639" s="712">
        <v>8714.0242677784172</v>
      </c>
      <c r="O639" s="712">
        <v>8975.4449958117693</v>
      </c>
      <c r="P639" s="712">
        <v>9070.8119409588489</v>
      </c>
    </row>
    <row r="640" spans="1:16">
      <c r="A640" s="709" t="s">
        <v>397</v>
      </c>
      <c r="B640" s="709" t="s">
        <v>669</v>
      </c>
      <c r="C640" s="709" t="s">
        <v>913</v>
      </c>
      <c r="D640" s="709" t="s">
        <v>914</v>
      </c>
      <c r="E640" s="709" t="s">
        <v>915</v>
      </c>
      <c r="F640" s="709" t="s">
        <v>916</v>
      </c>
      <c r="G640" s="709" t="s">
        <v>753</v>
      </c>
      <c r="H640" s="709">
        <v>5020</v>
      </c>
      <c r="I640" s="709" t="s">
        <v>908</v>
      </c>
      <c r="J640" s="709">
        <v>63300100</v>
      </c>
      <c r="K640" s="709" t="s">
        <v>1350</v>
      </c>
      <c r="L640" s="712">
        <v>27440.772057206621</v>
      </c>
      <c r="M640" s="712">
        <v>28996.758659648</v>
      </c>
      <c r="N640" s="712">
        <v>29866.661419437438</v>
      </c>
      <c r="O640" s="712">
        <v>30762.661262020563</v>
      </c>
      <c r="P640" s="712">
        <v>31089.524278898531</v>
      </c>
    </row>
    <row r="641" spans="1:16">
      <c r="A641" s="709" t="s">
        <v>287</v>
      </c>
      <c r="B641" s="709" t="s">
        <v>670</v>
      </c>
      <c r="C641" s="709" t="s">
        <v>917</v>
      </c>
      <c r="D641" s="709" t="s">
        <v>918</v>
      </c>
      <c r="E641" s="709" t="s">
        <v>919</v>
      </c>
      <c r="F641" s="709" t="s">
        <v>920</v>
      </c>
      <c r="G641" s="709" t="s">
        <v>753</v>
      </c>
      <c r="H641" s="709">
        <v>5019</v>
      </c>
      <c r="I641" s="709" t="s">
        <v>921</v>
      </c>
      <c r="J641" s="709">
        <v>63300100</v>
      </c>
      <c r="K641" s="709" t="s">
        <v>1350</v>
      </c>
      <c r="L641" s="712">
        <v>3438.6410684566335</v>
      </c>
      <c r="M641" s="712">
        <v>3633.6238999151988</v>
      </c>
      <c r="N641" s="712">
        <v>3742.6326169126551</v>
      </c>
      <c r="O641" s="712">
        <v>3854.9115954200352</v>
      </c>
      <c r="P641" s="712">
        <v>3895.8712517756599</v>
      </c>
    </row>
    <row r="642" spans="1:16">
      <c r="A642" s="709" t="s">
        <v>287</v>
      </c>
      <c r="B642" s="709" t="s">
        <v>670</v>
      </c>
      <c r="C642" s="709" t="s">
        <v>922</v>
      </c>
      <c r="D642" s="709" t="s">
        <v>923</v>
      </c>
      <c r="E642" s="709" t="s">
        <v>924</v>
      </c>
      <c r="F642" s="709" t="s">
        <v>925</v>
      </c>
      <c r="G642" s="709" t="s">
        <v>753</v>
      </c>
      <c r="H642" s="709">
        <v>5019</v>
      </c>
      <c r="I642" s="709" t="s">
        <v>921</v>
      </c>
      <c r="J642" s="709">
        <v>63300100</v>
      </c>
      <c r="K642" s="709" t="s">
        <v>1350</v>
      </c>
      <c r="L642" s="712">
        <v>4131.6652406305702</v>
      </c>
      <c r="M642" s="712">
        <v>4365.9449375280028</v>
      </c>
      <c r="N642" s="712">
        <v>4496.9232856538429</v>
      </c>
      <c r="O642" s="712">
        <v>4631.8309842234585</v>
      </c>
      <c r="P642" s="712">
        <v>4681.0456550959452</v>
      </c>
    </row>
    <row r="643" spans="1:16">
      <c r="A643" s="709" t="s">
        <v>287</v>
      </c>
      <c r="B643" s="709" t="s">
        <v>670</v>
      </c>
      <c r="C643" s="709" t="s">
        <v>926</v>
      </c>
      <c r="D643" s="709" t="s">
        <v>927</v>
      </c>
      <c r="E643" s="709" t="s">
        <v>928</v>
      </c>
      <c r="F643" s="709" t="s">
        <v>929</v>
      </c>
      <c r="G643" s="709" t="s">
        <v>753</v>
      </c>
      <c r="H643" s="709">
        <v>5019</v>
      </c>
      <c r="I643" s="709" t="s">
        <v>921</v>
      </c>
      <c r="J643" s="709">
        <v>63300100</v>
      </c>
      <c r="K643" s="709" t="s">
        <v>1350</v>
      </c>
      <c r="L643" s="712">
        <v>5007.908134174917</v>
      </c>
      <c r="M643" s="712">
        <v>5291.8738311599964</v>
      </c>
      <c r="N643" s="712">
        <v>5450.6300460947959</v>
      </c>
      <c r="O643" s="712">
        <v>5614.1489474776399</v>
      </c>
      <c r="P643" s="712">
        <v>5673.8010577598006</v>
      </c>
    </row>
    <row r="644" spans="1:16">
      <c r="A644" s="709" t="s">
        <v>287</v>
      </c>
      <c r="B644" s="709" t="s">
        <v>670</v>
      </c>
      <c r="C644" s="709" t="s">
        <v>930</v>
      </c>
      <c r="D644" s="709" t="s">
        <v>931</v>
      </c>
      <c r="E644" s="709" t="s">
        <v>932</v>
      </c>
      <c r="F644" s="709" t="s">
        <v>933</v>
      </c>
      <c r="G644" s="709" t="s">
        <v>753</v>
      </c>
      <c r="H644" s="709">
        <v>5019</v>
      </c>
      <c r="I644" s="709" t="s">
        <v>921</v>
      </c>
      <c r="J644" s="709">
        <v>63300100</v>
      </c>
      <c r="K644" s="709" t="s">
        <v>1350</v>
      </c>
      <c r="L644" s="712">
        <v>8500.564396898455</v>
      </c>
      <c r="M644" s="712">
        <v>8982.5757735167936</v>
      </c>
      <c r="N644" s="712">
        <v>9252.0530467222979</v>
      </c>
      <c r="O644" s="712">
        <v>9529.6146381239669</v>
      </c>
      <c r="P644" s="712">
        <v>9630.869811197932</v>
      </c>
    </row>
    <row r="645" spans="1:16">
      <c r="A645" s="709" t="s">
        <v>287</v>
      </c>
      <c r="B645" s="709" t="s">
        <v>670</v>
      </c>
      <c r="C645" s="709" t="s">
        <v>934</v>
      </c>
      <c r="D645" s="709" t="s">
        <v>935</v>
      </c>
      <c r="E645" s="709" t="s">
        <v>936</v>
      </c>
      <c r="F645" s="709" t="s">
        <v>937</v>
      </c>
      <c r="G645" s="709" t="s">
        <v>753</v>
      </c>
      <c r="H645" s="709">
        <v>5019</v>
      </c>
      <c r="I645" s="709" t="s">
        <v>921</v>
      </c>
      <c r="J645" s="709">
        <v>63300100</v>
      </c>
      <c r="K645" s="709" t="s">
        <v>1350</v>
      </c>
      <c r="L645" s="712">
        <v>123749.08879843639</v>
      </c>
      <c r="M645" s="712">
        <v>130766.08977177915</v>
      </c>
      <c r="N645" s="712">
        <v>134689.07246493251</v>
      </c>
      <c r="O645" s="712">
        <v>138729.74463888048</v>
      </c>
      <c r="P645" s="712">
        <v>140203.79210431737</v>
      </c>
    </row>
    <row r="646" spans="1:16">
      <c r="A646" s="709" t="s">
        <v>287</v>
      </c>
      <c r="B646" s="709" t="s">
        <v>670</v>
      </c>
      <c r="C646" s="709" t="s">
        <v>938</v>
      </c>
      <c r="D646" s="709" t="s">
        <v>939</v>
      </c>
      <c r="E646" s="709" t="s">
        <v>940</v>
      </c>
      <c r="F646" s="709" t="s">
        <v>941</v>
      </c>
      <c r="G646" s="709" t="s">
        <v>753</v>
      </c>
      <c r="H646" s="709">
        <v>5019</v>
      </c>
      <c r="I646" s="709" t="s">
        <v>921</v>
      </c>
      <c r="J646" s="709">
        <v>63300100</v>
      </c>
      <c r="K646" s="709" t="s">
        <v>1350</v>
      </c>
      <c r="L646" s="712">
        <v>3731.6061592217593</v>
      </c>
      <c r="M646" s="712">
        <v>3943.2011237232009</v>
      </c>
      <c r="N646" s="712">
        <v>4061.497157434897</v>
      </c>
      <c r="O646" s="712">
        <v>4183.3420721579441</v>
      </c>
      <c r="P646" s="712">
        <v>4227.7914063261242</v>
      </c>
    </row>
    <row r="647" spans="1:16">
      <c r="A647" s="709" t="s">
        <v>287</v>
      </c>
      <c r="B647" s="709" t="s">
        <v>670</v>
      </c>
      <c r="C647" s="709" t="s">
        <v>942</v>
      </c>
      <c r="D647" s="709" t="s">
        <v>943</v>
      </c>
      <c r="E647" s="709" t="s">
        <v>944</v>
      </c>
      <c r="F647" s="709" t="s">
        <v>945</v>
      </c>
      <c r="G647" s="709" t="s">
        <v>753</v>
      </c>
      <c r="H647" s="709">
        <v>5019</v>
      </c>
      <c r="I647" s="709" t="s">
        <v>921</v>
      </c>
      <c r="J647" s="709">
        <v>63300100</v>
      </c>
      <c r="K647" s="709" t="s">
        <v>1350</v>
      </c>
      <c r="L647" s="712">
        <v>23078.526204720951</v>
      </c>
      <c r="M647" s="712">
        <v>24387.158392757632</v>
      </c>
      <c r="N647" s="712">
        <v>25118.773144540359</v>
      </c>
      <c r="O647" s="712">
        <v>25872.336338876572</v>
      </c>
      <c r="P647" s="712">
        <v>26147.238104929151</v>
      </c>
    </row>
    <row r="648" spans="1:16">
      <c r="A648" s="709" t="s">
        <v>287</v>
      </c>
      <c r="B648" s="709" t="s">
        <v>670</v>
      </c>
      <c r="C648" s="709" t="s">
        <v>946</v>
      </c>
      <c r="D648" s="709" t="s">
        <v>947</v>
      </c>
      <c r="E648" s="709" t="s">
        <v>948</v>
      </c>
      <c r="F648" s="709" t="s">
        <v>949</v>
      </c>
      <c r="G648" s="709" t="s">
        <v>753</v>
      </c>
      <c r="H648" s="709">
        <v>5019</v>
      </c>
      <c r="I648" s="709" t="s">
        <v>921</v>
      </c>
      <c r="J648" s="709">
        <v>63300100</v>
      </c>
      <c r="K648" s="709" t="s">
        <v>1350</v>
      </c>
      <c r="L648" s="712">
        <v>238.47267439121498</v>
      </c>
      <c r="M648" s="712">
        <v>251.99489911679979</v>
      </c>
      <c r="N648" s="712">
        <v>259.55474609030375</v>
      </c>
      <c r="O648" s="712">
        <v>267.3413884730129</v>
      </c>
      <c r="P648" s="712">
        <v>270.18197537894872</v>
      </c>
    </row>
    <row r="649" spans="1:16">
      <c r="A649" s="709" t="s">
        <v>403</v>
      </c>
      <c r="B649" s="709" t="s">
        <v>671</v>
      </c>
      <c r="C649" s="709" t="s">
        <v>950</v>
      </c>
      <c r="D649" s="709" t="s">
        <v>951</v>
      </c>
      <c r="E649" s="709" t="s">
        <v>952</v>
      </c>
      <c r="F649" s="709" t="s">
        <v>953</v>
      </c>
      <c r="G649" s="709" t="s">
        <v>753</v>
      </c>
      <c r="H649" s="709">
        <v>5017</v>
      </c>
      <c r="I649" s="709" t="s">
        <v>954</v>
      </c>
      <c r="J649" s="709">
        <v>63300100</v>
      </c>
      <c r="K649" s="709" t="s">
        <v>1350</v>
      </c>
      <c r="L649" s="712">
        <v>5510.3102288604232</v>
      </c>
      <c r="M649" s="712">
        <v>5822.7638607599956</v>
      </c>
      <c r="N649" s="712">
        <v>5997.4467765827958</v>
      </c>
      <c r="O649" s="712">
        <v>6177.3701798802795</v>
      </c>
      <c r="P649" s="712">
        <v>6243.0066941002151</v>
      </c>
    </row>
    <row r="650" spans="1:16">
      <c r="A650" s="709" t="s">
        <v>403</v>
      </c>
      <c r="B650" s="709" t="s">
        <v>671</v>
      </c>
      <c r="C650" s="709" t="s">
        <v>955</v>
      </c>
      <c r="D650" s="709" t="s">
        <v>956</v>
      </c>
      <c r="E650" s="709" t="s">
        <v>957</v>
      </c>
      <c r="F650" s="709" t="s">
        <v>958</v>
      </c>
      <c r="G650" s="709" t="s">
        <v>753</v>
      </c>
      <c r="H650" s="709">
        <v>5017</v>
      </c>
      <c r="I650" s="709" t="s">
        <v>954</v>
      </c>
      <c r="J650" s="709">
        <v>63300100</v>
      </c>
      <c r="K650" s="709" t="s">
        <v>1350</v>
      </c>
      <c r="L650" s="712">
        <v>88.234607226802282</v>
      </c>
      <c r="M650" s="712">
        <v>93.237814367999519</v>
      </c>
      <c r="N650" s="712">
        <v>96.034948799039498</v>
      </c>
      <c r="O650" s="712">
        <v>98.915997263010695</v>
      </c>
      <c r="P650" s="712">
        <v>99.967011055591684</v>
      </c>
    </row>
    <row r="651" spans="1:16">
      <c r="A651" s="709" t="s">
        <v>403</v>
      </c>
      <c r="B651" s="709" t="s">
        <v>671</v>
      </c>
      <c r="C651" s="709" t="s">
        <v>959</v>
      </c>
      <c r="D651" s="709" t="s">
        <v>960</v>
      </c>
      <c r="E651" s="709" t="s">
        <v>961</v>
      </c>
      <c r="F651" s="709" t="s">
        <v>962</v>
      </c>
      <c r="G651" s="709" t="s">
        <v>753</v>
      </c>
      <c r="H651" s="709">
        <v>5017</v>
      </c>
      <c r="I651" s="709" t="s">
        <v>954</v>
      </c>
      <c r="J651" s="709">
        <v>63300100</v>
      </c>
      <c r="K651" s="709" t="s">
        <v>1350</v>
      </c>
      <c r="L651" s="712">
        <v>1654.0816516472119</v>
      </c>
      <c r="M651" s="712">
        <v>1747.8737972888009</v>
      </c>
      <c r="N651" s="712">
        <v>1800.3100112074651</v>
      </c>
      <c r="O651" s="712">
        <v>1854.3193115436891</v>
      </c>
      <c r="P651" s="712">
        <v>1874.0220413973818</v>
      </c>
    </row>
    <row r="652" spans="1:16">
      <c r="A652" s="709" t="s">
        <v>403</v>
      </c>
      <c r="B652" s="709" t="s">
        <v>671</v>
      </c>
      <c r="C652" s="709" t="s">
        <v>963</v>
      </c>
      <c r="D652" s="709" t="s">
        <v>964</v>
      </c>
      <c r="E652" s="709" t="s">
        <v>965</v>
      </c>
      <c r="F652" s="709" t="s">
        <v>966</v>
      </c>
      <c r="G652" s="709" t="s">
        <v>753</v>
      </c>
      <c r="H652" s="709">
        <v>5017</v>
      </c>
      <c r="I652" s="709" t="s">
        <v>954</v>
      </c>
      <c r="J652" s="709">
        <v>63300100</v>
      </c>
      <c r="K652" s="709" t="s">
        <v>1350</v>
      </c>
      <c r="L652" s="712">
        <v>5744.1997461863939</v>
      </c>
      <c r="M652" s="712">
        <v>6069.9157219679819</v>
      </c>
      <c r="N652" s="712">
        <v>6252.0131936270218</v>
      </c>
      <c r="O652" s="712">
        <v>6439.5735894358322</v>
      </c>
      <c r="P652" s="712">
        <v>6507.9960979087691</v>
      </c>
    </row>
    <row r="653" spans="1:16">
      <c r="A653" s="709" t="s">
        <v>403</v>
      </c>
      <c r="B653" s="709" t="s">
        <v>671</v>
      </c>
      <c r="C653" s="709" t="s">
        <v>967</v>
      </c>
      <c r="D653" s="709" t="s">
        <v>968</v>
      </c>
      <c r="E653" s="709" t="s">
        <v>969</v>
      </c>
      <c r="F653" s="709" t="s">
        <v>970</v>
      </c>
      <c r="G653" s="709" t="s">
        <v>753</v>
      </c>
      <c r="H653" s="709">
        <v>5017</v>
      </c>
      <c r="I653" s="709" t="s">
        <v>954</v>
      </c>
      <c r="J653" s="709">
        <v>63300100</v>
      </c>
      <c r="K653" s="709" t="s">
        <v>1350</v>
      </c>
      <c r="L653" s="712">
        <v>5257.4485935562716</v>
      </c>
      <c r="M653" s="712">
        <v>5555.5640969227088</v>
      </c>
      <c r="N653" s="712">
        <v>5722.2310198303903</v>
      </c>
      <c r="O653" s="712">
        <v>5893.897950425302</v>
      </c>
      <c r="P653" s="712">
        <v>5956.522482446052</v>
      </c>
    </row>
    <row r="654" spans="1:16">
      <c r="A654" s="709" t="s">
        <v>403</v>
      </c>
      <c r="B654" s="709" t="s">
        <v>671</v>
      </c>
      <c r="C654" s="709" t="s">
        <v>971</v>
      </c>
      <c r="D654" s="709" t="s">
        <v>972</v>
      </c>
      <c r="E654" s="709" t="s">
        <v>973</v>
      </c>
      <c r="F654" s="709" t="s">
        <v>974</v>
      </c>
      <c r="G654" s="709" t="s">
        <v>753</v>
      </c>
      <c r="H654" s="709">
        <v>5017</v>
      </c>
      <c r="I654" s="709" t="s">
        <v>954</v>
      </c>
      <c r="J654" s="709">
        <v>63300100</v>
      </c>
      <c r="K654" s="709" t="s">
        <v>1350</v>
      </c>
      <c r="L654" s="712">
        <v>140129.42022997738</v>
      </c>
      <c r="M654" s="712">
        <v>148075.24260083374</v>
      </c>
      <c r="N654" s="712">
        <v>152517.49987885877</v>
      </c>
      <c r="O654" s="712">
        <v>157093.02487522454</v>
      </c>
      <c r="P654" s="712">
        <v>158762.18800788873</v>
      </c>
    </row>
    <row r="655" spans="1:16">
      <c r="A655" s="709" t="s">
        <v>403</v>
      </c>
      <c r="B655" s="709" t="s">
        <v>671</v>
      </c>
      <c r="C655" s="709" t="s">
        <v>975</v>
      </c>
      <c r="D655" s="709" t="s">
        <v>976</v>
      </c>
      <c r="E655" s="709" t="s">
        <v>977</v>
      </c>
      <c r="F655" s="709" t="s">
        <v>978</v>
      </c>
      <c r="G655" s="709" t="s">
        <v>753</v>
      </c>
      <c r="H655" s="709">
        <v>5017</v>
      </c>
      <c r="I655" s="709" t="s">
        <v>954</v>
      </c>
      <c r="J655" s="709">
        <v>63300100</v>
      </c>
      <c r="K655" s="709" t="s">
        <v>1350</v>
      </c>
      <c r="L655" s="712">
        <v>1500.8187081525573</v>
      </c>
      <c r="M655" s="712">
        <v>1585.9203152687996</v>
      </c>
      <c r="N655" s="712">
        <v>1633.4979247268636</v>
      </c>
      <c r="O655" s="712">
        <v>1682.5028624686695</v>
      </c>
      <c r="P655" s="712">
        <v>1700.3799881454161</v>
      </c>
    </row>
    <row r="656" spans="1:16">
      <c r="A656" s="709" t="s">
        <v>403</v>
      </c>
      <c r="B656" s="709" t="s">
        <v>671</v>
      </c>
      <c r="C656" s="709" t="s">
        <v>979</v>
      </c>
      <c r="D656" s="709" t="s">
        <v>980</v>
      </c>
      <c r="E656" s="709" t="s">
        <v>981</v>
      </c>
      <c r="F656" s="709" t="s">
        <v>982</v>
      </c>
      <c r="G656" s="709" t="s">
        <v>753</v>
      </c>
      <c r="H656" s="709">
        <v>5017</v>
      </c>
      <c r="I656" s="709" t="s">
        <v>954</v>
      </c>
      <c r="J656" s="709">
        <v>63300100</v>
      </c>
      <c r="K656" s="709" t="s">
        <v>1350</v>
      </c>
      <c r="L656" s="712">
        <v>22328.602506832547</v>
      </c>
      <c r="M656" s="712">
        <v>23594.711429695235</v>
      </c>
      <c r="N656" s="712">
        <v>24302.552772586092</v>
      </c>
      <c r="O656" s="712">
        <v>25031.629355763678</v>
      </c>
      <c r="P656" s="712">
        <v>25297.598343911573</v>
      </c>
    </row>
    <row r="657" spans="1:16">
      <c r="A657" s="709" t="s">
        <v>403</v>
      </c>
      <c r="B657" s="709" t="s">
        <v>671</v>
      </c>
      <c r="C657" s="709" t="s">
        <v>983</v>
      </c>
      <c r="D657" s="709" t="s">
        <v>984</v>
      </c>
      <c r="E657" s="709" t="s">
        <v>985</v>
      </c>
      <c r="F657" s="709" t="s">
        <v>986</v>
      </c>
      <c r="G657" s="709" t="s">
        <v>753</v>
      </c>
      <c r="H657" s="709">
        <v>5017</v>
      </c>
      <c r="I657" s="709" t="s">
        <v>954</v>
      </c>
      <c r="J657" s="709">
        <v>63300100</v>
      </c>
      <c r="K657" s="709" t="s">
        <v>1350</v>
      </c>
      <c r="L657" s="712">
        <v>265.30000135731541</v>
      </c>
      <c r="M657" s="712">
        <v>280.34342822879989</v>
      </c>
      <c r="N657" s="712">
        <v>288.75373107566389</v>
      </c>
      <c r="O657" s="712">
        <v>297.41634300793385</v>
      </c>
      <c r="P657" s="712">
        <v>300.57648582901044</v>
      </c>
    </row>
    <row r="658" spans="1:16">
      <c r="A658" s="709" t="s">
        <v>397</v>
      </c>
      <c r="B658" s="709" t="s">
        <v>673</v>
      </c>
      <c r="C658" s="709" t="s">
        <v>987</v>
      </c>
      <c r="D658" s="709" t="s">
        <v>988</v>
      </c>
      <c r="E658" s="709" t="s">
        <v>989</v>
      </c>
      <c r="F658" s="709" t="s">
        <v>990</v>
      </c>
      <c r="G658" s="709" t="s">
        <v>753</v>
      </c>
      <c r="H658" s="709">
        <v>5009</v>
      </c>
      <c r="I658" s="709" t="s">
        <v>991</v>
      </c>
      <c r="J658" s="709">
        <v>63300100</v>
      </c>
      <c r="K658" s="709" t="s">
        <v>1350</v>
      </c>
      <c r="L658" s="712">
        <v>60699.757974521526</v>
      </c>
      <c r="M658" s="712">
        <v>64141.644011215067</v>
      </c>
      <c r="N658" s="712">
        <v>66065.893331551517</v>
      </c>
      <c r="O658" s="712">
        <v>68047.870131498072</v>
      </c>
      <c r="P658" s="712">
        <v>68770.90029894207</v>
      </c>
    </row>
    <row r="659" spans="1:16">
      <c r="A659" s="709" t="s">
        <v>404</v>
      </c>
      <c r="B659" s="709" t="s">
        <v>673</v>
      </c>
      <c r="C659" s="709" t="s">
        <v>992</v>
      </c>
      <c r="D659" s="709" t="s">
        <v>993</v>
      </c>
      <c r="E659" s="709" t="s">
        <v>994</v>
      </c>
      <c r="F659" s="709" t="s">
        <v>995</v>
      </c>
      <c r="G659" s="709" t="s">
        <v>753</v>
      </c>
      <c r="H659" s="709">
        <v>5009</v>
      </c>
      <c r="I659" s="709" t="s">
        <v>991</v>
      </c>
      <c r="J659" s="709">
        <v>63300100</v>
      </c>
      <c r="K659" s="709" t="s">
        <v>1350</v>
      </c>
      <c r="L659" s="712">
        <v>1594.7809068418569</v>
      </c>
      <c r="M659" s="712">
        <v>1685.2104953279998</v>
      </c>
      <c r="N659" s="712">
        <v>1735.7668101878396</v>
      </c>
      <c r="O659" s="712">
        <v>1787.8398144934752</v>
      </c>
      <c r="P659" s="712">
        <v>1806.8361786403364</v>
      </c>
    </row>
    <row r="660" spans="1:16">
      <c r="A660" s="709" t="s">
        <v>542</v>
      </c>
      <c r="B660" s="709" t="s">
        <v>673</v>
      </c>
      <c r="C660" s="709" t="s">
        <v>996</v>
      </c>
      <c r="D660" s="709" t="s">
        <v>997</v>
      </c>
      <c r="E660" s="709" t="s">
        <v>998</v>
      </c>
      <c r="F660" s="709" t="s">
        <v>999</v>
      </c>
      <c r="G660" s="709" t="s">
        <v>753</v>
      </c>
      <c r="H660" s="709">
        <v>5009</v>
      </c>
      <c r="I660" s="709" t="s">
        <v>991</v>
      </c>
      <c r="J660" s="709">
        <v>63300100</v>
      </c>
      <c r="K660" s="709" t="s">
        <v>1350</v>
      </c>
      <c r="L660" s="712">
        <v>6006.511265883526</v>
      </c>
      <c r="M660" s="712">
        <v>6347.1012112992003</v>
      </c>
      <c r="N660" s="712">
        <v>6537.5142476381761</v>
      </c>
      <c r="O660" s="712">
        <v>6733.6396750673221</v>
      </c>
      <c r="P660" s="712">
        <v>6805.1867288158546</v>
      </c>
    </row>
    <row r="661" spans="1:16">
      <c r="A661" s="709" t="s">
        <v>542</v>
      </c>
      <c r="B661" s="709" t="s">
        <v>673</v>
      </c>
      <c r="C661" s="709" t="s">
        <v>1000</v>
      </c>
      <c r="D661" s="709" t="s">
        <v>1001</v>
      </c>
      <c r="E661" s="709" t="s">
        <v>1002</v>
      </c>
      <c r="F661" s="709" t="s">
        <v>1003</v>
      </c>
      <c r="G661" s="709" t="s">
        <v>753</v>
      </c>
      <c r="H661" s="709">
        <v>5009</v>
      </c>
      <c r="I661" s="709" t="s">
        <v>991</v>
      </c>
      <c r="J661" s="709">
        <v>63300100</v>
      </c>
      <c r="K661" s="709" t="s">
        <v>1350</v>
      </c>
      <c r="L661" s="712">
        <v>834.65168954842341</v>
      </c>
      <c r="M661" s="712">
        <v>881.97932464319967</v>
      </c>
      <c r="N661" s="712">
        <v>908.43870438249564</v>
      </c>
      <c r="O661" s="712">
        <v>935.69186551397047</v>
      </c>
      <c r="P661" s="712">
        <v>945.63388787104338</v>
      </c>
    </row>
    <row r="662" spans="1:16">
      <c r="A662" s="709" t="s">
        <v>542</v>
      </c>
      <c r="B662" s="709" t="s">
        <v>673</v>
      </c>
      <c r="C662" s="709" t="s">
        <v>1004</v>
      </c>
      <c r="D662" s="709" t="s">
        <v>1005</v>
      </c>
      <c r="E662" s="709" t="s">
        <v>1006</v>
      </c>
      <c r="F662" s="709" t="s">
        <v>1007</v>
      </c>
      <c r="G662" s="709" t="s">
        <v>753</v>
      </c>
      <c r="H662" s="709">
        <v>5009</v>
      </c>
      <c r="I662" s="709" t="s">
        <v>991</v>
      </c>
      <c r="J662" s="709">
        <v>63300100</v>
      </c>
      <c r="K662" s="709" t="s">
        <v>1350</v>
      </c>
      <c r="L662" s="712">
        <v>2861.6629355945956</v>
      </c>
      <c r="M662" s="712">
        <v>3023.9291130624001</v>
      </c>
      <c r="N662" s="712">
        <v>3114.6469864542723</v>
      </c>
      <c r="O662" s="712">
        <v>3208.086396047901</v>
      </c>
      <c r="P662" s="712">
        <v>3242.1733298435797</v>
      </c>
    </row>
    <row r="663" spans="1:16">
      <c r="A663" s="709" t="s">
        <v>542</v>
      </c>
      <c r="B663" s="709" t="s">
        <v>673</v>
      </c>
      <c r="C663" s="709" t="s">
        <v>1008</v>
      </c>
      <c r="D663" s="709" t="s">
        <v>1009</v>
      </c>
      <c r="E663" s="709" t="s">
        <v>1010</v>
      </c>
      <c r="F663" s="709" t="s">
        <v>1011</v>
      </c>
      <c r="G663" s="709" t="s">
        <v>753</v>
      </c>
      <c r="H663" s="709">
        <v>5009</v>
      </c>
      <c r="I663" s="709" t="s">
        <v>991</v>
      </c>
      <c r="J663" s="709">
        <v>63300100</v>
      </c>
      <c r="K663" s="709" t="s">
        <v>1350</v>
      </c>
      <c r="L663" s="712">
        <v>5291.095531984879</v>
      </c>
      <c r="M663" s="712">
        <v>5591.1189330336028</v>
      </c>
      <c r="N663" s="712">
        <v>5758.8525010246112</v>
      </c>
      <c r="O663" s="712">
        <v>5931.6180760553489</v>
      </c>
      <c r="P663" s="712">
        <v>5994.6433963549616</v>
      </c>
    </row>
    <row r="664" spans="1:16">
      <c r="A664" s="709" t="s">
        <v>542</v>
      </c>
      <c r="B664" s="709" t="s">
        <v>673</v>
      </c>
      <c r="C664" s="709" t="s">
        <v>1012</v>
      </c>
      <c r="D664" s="709" t="s">
        <v>1013</v>
      </c>
      <c r="E664" s="709" t="s">
        <v>1014</v>
      </c>
      <c r="F664" s="709" t="s">
        <v>1015</v>
      </c>
      <c r="G664" s="709" t="s">
        <v>753</v>
      </c>
      <c r="H664" s="709">
        <v>5009</v>
      </c>
      <c r="I664" s="709" t="s">
        <v>991</v>
      </c>
      <c r="J664" s="709">
        <v>63300100</v>
      </c>
      <c r="K664" s="709" t="s">
        <v>1350</v>
      </c>
      <c r="L664" s="712">
        <v>34185.11257459363</v>
      </c>
      <c r="M664" s="712">
        <v>36123.526590719994</v>
      </c>
      <c r="N664" s="712">
        <v>37207.232388441589</v>
      </c>
      <c r="O664" s="712">
        <v>38323.449360094841</v>
      </c>
      <c r="P664" s="712">
        <v>38730.648144631596</v>
      </c>
    </row>
    <row r="665" spans="1:16">
      <c r="A665" s="709" t="s">
        <v>542</v>
      </c>
      <c r="B665" s="709" t="s">
        <v>673</v>
      </c>
      <c r="C665" s="709" t="s">
        <v>1016</v>
      </c>
      <c r="D665" s="709" t="s">
        <v>1017</v>
      </c>
      <c r="E665" s="709" t="s">
        <v>1018</v>
      </c>
      <c r="F665" s="709" t="s">
        <v>1019</v>
      </c>
      <c r="G665" s="709" t="s">
        <v>753</v>
      </c>
      <c r="H665" s="709">
        <v>5009</v>
      </c>
      <c r="I665" s="709" t="s">
        <v>991</v>
      </c>
      <c r="J665" s="709">
        <v>63300100</v>
      </c>
      <c r="K665" s="709" t="s">
        <v>1350</v>
      </c>
      <c r="L665" s="712">
        <v>7979.7947645978493</v>
      </c>
      <c r="M665" s="712">
        <v>8432.276703446405</v>
      </c>
      <c r="N665" s="712">
        <v>8685.2450045497972</v>
      </c>
      <c r="O665" s="712">
        <v>8945.8023546862914</v>
      </c>
      <c r="P665" s="712">
        <v>9040.8543373850971</v>
      </c>
    </row>
    <row r="666" spans="1:16">
      <c r="A666" s="709" t="s">
        <v>400</v>
      </c>
      <c r="B666" s="709" t="s">
        <v>673</v>
      </c>
      <c r="C666" s="709" t="s">
        <v>1020</v>
      </c>
      <c r="D666" s="709" t="s">
        <v>1021</v>
      </c>
      <c r="E666" s="709" t="s">
        <v>1022</v>
      </c>
      <c r="F666" s="709" t="s">
        <v>1023</v>
      </c>
      <c r="G666" s="709" t="s">
        <v>753</v>
      </c>
      <c r="H666" s="709">
        <v>5009</v>
      </c>
      <c r="I666" s="709" t="s">
        <v>991</v>
      </c>
      <c r="J666" s="709">
        <v>63300100</v>
      </c>
      <c r="K666" s="709" t="s">
        <v>1350</v>
      </c>
      <c r="L666" s="712">
        <v>207.58621221845254</v>
      </c>
      <c r="M666" s="712">
        <v>219.35706780480757</v>
      </c>
      <c r="N666" s="712">
        <v>225.9377798389518</v>
      </c>
      <c r="O666" s="712">
        <v>232.71591323412034</v>
      </c>
      <c r="P666" s="712">
        <v>235.18859350151732</v>
      </c>
    </row>
    <row r="667" spans="1:16">
      <c r="A667" s="709" t="s">
        <v>400</v>
      </c>
      <c r="B667" s="709" t="s">
        <v>673</v>
      </c>
      <c r="C667" s="709" t="s">
        <v>1024</v>
      </c>
      <c r="D667" s="709" t="s">
        <v>1025</v>
      </c>
      <c r="E667" s="709" t="s">
        <v>1026</v>
      </c>
      <c r="F667" s="709" t="s">
        <v>1027</v>
      </c>
      <c r="G667" s="709" t="s">
        <v>753</v>
      </c>
      <c r="H667" s="709">
        <v>5009</v>
      </c>
      <c r="I667" s="709" t="s">
        <v>991</v>
      </c>
      <c r="J667" s="709">
        <v>63300100</v>
      </c>
      <c r="K667" s="709" t="s">
        <v>1350</v>
      </c>
      <c r="L667" s="712">
        <v>1886.2785688864155</v>
      </c>
      <c r="M667" s="712">
        <v>1993.237082136</v>
      </c>
      <c r="N667" s="712">
        <v>2053.0341946000804</v>
      </c>
      <c r="O667" s="712">
        <v>2114.6252204380826</v>
      </c>
      <c r="P667" s="712">
        <v>2137.09378299941</v>
      </c>
    </row>
    <row r="668" spans="1:16">
      <c r="A668" s="709" t="s">
        <v>400</v>
      </c>
      <c r="B668" s="709" t="s">
        <v>673</v>
      </c>
      <c r="C668" s="709" t="s">
        <v>1028</v>
      </c>
      <c r="D668" s="709" t="s">
        <v>1029</v>
      </c>
      <c r="E668" s="709" t="s">
        <v>1030</v>
      </c>
      <c r="F668" s="709" t="s">
        <v>1031</v>
      </c>
      <c r="G668" s="709" t="s">
        <v>753</v>
      </c>
      <c r="H668" s="709">
        <v>5009</v>
      </c>
      <c r="I668" s="709" t="s">
        <v>991</v>
      </c>
      <c r="J668" s="709">
        <v>63300100</v>
      </c>
      <c r="K668" s="709" t="s">
        <v>1350</v>
      </c>
      <c r="L668" s="712">
        <v>5540.8404210446733</v>
      </c>
      <c r="M668" s="712">
        <v>5855.0252203439686</v>
      </c>
      <c r="N668" s="712">
        <v>6030.6759769542887</v>
      </c>
      <c r="O668" s="712">
        <v>6211.5962562629174</v>
      </c>
      <c r="P668" s="712">
        <v>6277.5964333820748</v>
      </c>
    </row>
    <row r="669" spans="1:16">
      <c r="A669" s="709" t="s">
        <v>400</v>
      </c>
      <c r="B669" s="709" t="s">
        <v>673</v>
      </c>
      <c r="C669" s="709" t="s">
        <v>1032</v>
      </c>
      <c r="D669" s="709" t="s">
        <v>1033</v>
      </c>
      <c r="E669" s="709" t="s">
        <v>1034</v>
      </c>
      <c r="F669" s="709" t="s">
        <v>1035</v>
      </c>
      <c r="G669" s="709" t="s">
        <v>753</v>
      </c>
      <c r="H669" s="709">
        <v>5009</v>
      </c>
      <c r="I669" s="709" t="s">
        <v>991</v>
      </c>
      <c r="J669" s="709">
        <v>63300100</v>
      </c>
      <c r="K669" s="709" t="s">
        <v>1350</v>
      </c>
      <c r="L669" s="712">
        <v>72539.953875928564</v>
      </c>
      <c r="M669" s="712">
        <v>76653.219936276801</v>
      </c>
      <c r="N669" s="712">
        <v>78952.81653436512</v>
      </c>
      <c r="O669" s="712">
        <v>81321.401030396068</v>
      </c>
      <c r="P669" s="712">
        <v>82185.46666669246</v>
      </c>
    </row>
    <row r="670" spans="1:16">
      <c r="A670" s="709" t="s">
        <v>396</v>
      </c>
      <c r="B670" s="709" t="s">
        <v>673</v>
      </c>
      <c r="C670" s="709" t="s">
        <v>1036</v>
      </c>
      <c r="D670" s="709" t="s">
        <v>1037</v>
      </c>
      <c r="E670" s="709" t="s">
        <v>1038</v>
      </c>
      <c r="F670" s="709" t="s">
        <v>1039</v>
      </c>
      <c r="G670" s="709" t="s">
        <v>753</v>
      </c>
      <c r="H670" s="709">
        <v>5009</v>
      </c>
      <c r="I670" s="709" t="s">
        <v>991</v>
      </c>
      <c r="J670" s="709">
        <v>63300100</v>
      </c>
      <c r="K670" s="709" t="s">
        <v>1350</v>
      </c>
      <c r="L670" s="712">
        <v>596.17968286241535</v>
      </c>
      <c r="M670" s="712">
        <v>629.98513109279941</v>
      </c>
      <c r="N670" s="712">
        <v>648.88468502558351</v>
      </c>
      <c r="O670" s="712">
        <v>668.351225576351</v>
      </c>
      <c r="P670" s="712">
        <v>675.4526689809137</v>
      </c>
    </row>
    <row r="671" spans="1:16">
      <c r="A671" s="709" t="s">
        <v>541</v>
      </c>
      <c r="B671" s="709" t="s">
        <v>673</v>
      </c>
      <c r="C671" s="709" t="s">
        <v>1040</v>
      </c>
      <c r="D671" s="709" t="s">
        <v>1041</v>
      </c>
      <c r="E671" s="709" t="s">
        <v>1042</v>
      </c>
      <c r="F671" s="709" t="s">
        <v>1043</v>
      </c>
      <c r="G671" s="709" t="s">
        <v>753</v>
      </c>
      <c r="H671" s="709">
        <v>5009</v>
      </c>
      <c r="I671" s="709" t="s">
        <v>991</v>
      </c>
      <c r="J671" s="709">
        <v>63300100</v>
      </c>
      <c r="K671" s="709" t="s">
        <v>1350</v>
      </c>
      <c r="L671" s="712">
        <v>5626.4462756909761</v>
      </c>
      <c r="M671" s="712">
        <v>5945.4852227760002</v>
      </c>
      <c r="N671" s="712">
        <v>6123.8497794592813</v>
      </c>
      <c r="O671" s="712">
        <v>6307.5652728430605</v>
      </c>
      <c r="P671" s="712">
        <v>6374.585151151884</v>
      </c>
    </row>
    <row r="672" spans="1:16">
      <c r="A672" s="709" t="s">
        <v>541</v>
      </c>
      <c r="B672" s="709" t="s">
        <v>673</v>
      </c>
      <c r="C672" s="709" t="s">
        <v>1044</v>
      </c>
      <c r="D672" s="709" t="s">
        <v>1045</v>
      </c>
      <c r="E672" s="709" t="s">
        <v>1046</v>
      </c>
      <c r="F672" s="709" t="s">
        <v>1047</v>
      </c>
      <c r="G672" s="709" t="s">
        <v>753</v>
      </c>
      <c r="H672" s="709">
        <v>5009</v>
      </c>
      <c r="I672" s="709" t="s">
        <v>991</v>
      </c>
      <c r="J672" s="709">
        <v>63300100</v>
      </c>
      <c r="K672" s="709" t="s">
        <v>1350</v>
      </c>
      <c r="L672" s="712">
        <v>1132.741197127029</v>
      </c>
      <c r="M672" s="712">
        <v>1196.971537406401</v>
      </c>
      <c r="N672" s="712">
        <v>1232.8806835285932</v>
      </c>
      <c r="O672" s="712">
        <v>1269.8671040344509</v>
      </c>
      <c r="P672" s="712">
        <v>1283.3598441170925</v>
      </c>
    </row>
    <row r="673" spans="1:16">
      <c r="A673" s="709" t="s">
        <v>541</v>
      </c>
      <c r="B673" s="709" t="s">
        <v>673</v>
      </c>
      <c r="C673" s="709" t="s">
        <v>1048</v>
      </c>
      <c r="D673" s="709" t="s">
        <v>1049</v>
      </c>
      <c r="E673" s="709" t="s">
        <v>1050</v>
      </c>
      <c r="F673" s="709" t="s">
        <v>1051</v>
      </c>
      <c r="G673" s="709" t="s">
        <v>753</v>
      </c>
      <c r="H673" s="709">
        <v>5009</v>
      </c>
      <c r="I673" s="709" t="s">
        <v>991</v>
      </c>
      <c r="J673" s="709">
        <v>63300100</v>
      </c>
      <c r="K673" s="709" t="s">
        <v>1350</v>
      </c>
      <c r="L673" s="712">
        <v>596.17868125236623</v>
      </c>
      <c r="M673" s="712">
        <v>629.98407268799929</v>
      </c>
      <c r="N673" s="712">
        <v>648.88359486863931</v>
      </c>
      <c r="O673" s="712">
        <v>668.35010271469855</v>
      </c>
      <c r="P673" s="712">
        <v>675.45153418850066</v>
      </c>
    </row>
    <row r="674" spans="1:16">
      <c r="A674" s="709" t="s">
        <v>541</v>
      </c>
      <c r="B674" s="709" t="s">
        <v>673</v>
      </c>
      <c r="C674" s="709" t="s">
        <v>1052</v>
      </c>
      <c r="D674" s="709" t="s">
        <v>1053</v>
      </c>
      <c r="E674" s="709" t="s">
        <v>1054</v>
      </c>
      <c r="F674" s="709" t="s">
        <v>1055</v>
      </c>
      <c r="G674" s="709" t="s">
        <v>753</v>
      </c>
      <c r="H674" s="709">
        <v>5009</v>
      </c>
      <c r="I674" s="709" t="s">
        <v>991</v>
      </c>
      <c r="J674" s="709">
        <v>63300100</v>
      </c>
      <c r="K674" s="709" t="s">
        <v>1350</v>
      </c>
      <c r="L674" s="712">
        <v>6282.2441271511861</v>
      </c>
      <c r="M674" s="712">
        <v>6638.4690786479896</v>
      </c>
      <c r="N674" s="712">
        <v>6837.6231510074285</v>
      </c>
      <c r="O674" s="712">
        <v>7042.7518455376521</v>
      </c>
      <c r="P674" s="712">
        <v>7117.5833139775223</v>
      </c>
    </row>
    <row r="675" spans="1:16">
      <c r="A675" s="709" t="s">
        <v>541</v>
      </c>
      <c r="B675" s="709" t="s">
        <v>673</v>
      </c>
      <c r="C675" s="709" t="s">
        <v>1056</v>
      </c>
      <c r="D675" s="709" t="s">
        <v>1057</v>
      </c>
      <c r="E675" s="709" t="s">
        <v>1058</v>
      </c>
      <c r="F675" s="709" t="s">
        <v>1059</v>
      </c>
      <c r="G675" s="709" t="s">
        <v>753</v>
      </c>
      <c r="H675" s="709">
        <v>5009</v>
      </c>
      <c r="I675" s="709" t="s">
        <v>991</v>
      </c>
      <c r="J675" s="709">
        <v>63300100</v>
      </c>
      <c r="K675" s="709" t="s">
        <v>1350</v>
      </c>
      <c r="L675" s="712">
        <v>20109.198616987815</v>
      </c>
      <c r="M675" s="712">
        <v>21249.459669724787</v>
      </c>
      <c r="N675" s="712">
        <v>21886.943459816532</v>
      </c>
      <c r="O675" s="712">
        <v>22543.551763611031</v>
      </c>
      <c r="P675" s="712">
        <v>22783.084139494775</v>
      </c>
    </row>
    <row r="676" spans="1:16">
      <c r="A676" s="709" t="s">
        <v>541</v>
      </c>
      <c r="B676" s="709" t="s">
        <v>673</v>
      </c>
      <c r="C676" s="709" t="s">
        <v>1060</v>
      </c>
      <c r="D676" s="709" t="s">
        <v>1061</v>
      </c>
      <c r="E676" s="709" t="s">
        <v>1062</v>
      </c>
      <c r="F676" s="709" t="s">
        <v>1063</v>
      </c>
      <c r="G676" s="709" t="s">
        <v>753</v>
      </c>
      <c r="H676" s="709">
        <v>5009</v>
      </c>
      <c r="I676" s="709" t="s">
        <v>991</v>
      </c>
      <c r="J676" s="709">
        <v>63300100</v>
      </c>
      <c r="K676" s="709" t="s">
        <v>1350</v>
      </c>
      <c r="L676" s="712">
        <v>119.23595564977475</v>
      </c>
      <c r="M676" s="712">
        <v>125.99704637759993</v>
      </c>
      <c r="N676" s="712">
        <v>129.7769577689279</v>
      </c>
      <c r="O676" s="712">
        <v>133.67026650199577</v>
      </c>
      <c r="P676" s="712">
        <v>135.09055541014905</v>
      </c>
    </row>
    <row r="677" spans="1:16">
      <c r="A677" s="709" t="s">
        <v>397</v>
      </c>
      <c r="B677" s="709" t="s">
        <v>1064</v>
      </c>
      <c r="C677" s="709" t="s">
        <v>1065</v>
      </c>
      <c r="D677" s="709" t="s">
        <v>1066</v>
      </c>
      <c r="E677" s="709" t="s">
        <v>1067</v>
      </c>
      <c r="F677" s="709" t="s">
        <v>1068</v>
      </c>
      <c r="G677" s="709" t="s">
        <v>753</v>
      </c>
      <c r="H677" s="709">
        <v>5008</v>
      </c>
      <c r="I677" s="709" t="s">
        <v>1069</v>
      </c>
      <c r="J677" s="709">
        <v>63300100</v>
      </c>
      <c r="K677" s="709" t="s">
        <v>1350</v>
      </c>
      <c r="L677" s="712">
        <v>15136.14618393662</v>
      </c>
      <c r="M677" s="712">
        <v>15994.417978392723</v>
      </c>
      <c r="N677" s="712">
        <v>16474.250517744505</v>
      </c>
      <c r="O677" s="712">
        <v>16968.478033276839</v>
      </c>
      <c r="P677" s="712">
        <v>17148.773485433703</v>
      </c>
    </row>
    <row r="678" spans="1:16" hidden="1">
      <c r="A678" s="709" t="s">
        <v>133</v>
      </c>
      <c r="B678" s="709" t="s">
        <v>662</v>
      </c>
      <c r="C678" s="709" t="s">
        <v>749</v>
      </c>
      <c r="D678" s="709" t="s">
        <v>750</v>
      </c>
      <c r="E678" s="709" t="s">
        <v>751</v>
      </c>
      <c r="F678" s="709" t="s">
        <v>752</v>
      </c>
      <c r="G678" s="709" t="s">
        <v>753</v>
      </c>
      <c r="H678" s="709">
        <v>5327</v>
      </c>
      <c r="I678" s="709" t="s">
        <v>754</v>
      </c>
      <c r="J678" s="709">
        <v>63300170</v>
      </c>
      <c r="K678" s="709" t="s">
        <v>1351</v>
      </c>
      <c r="L678" s="712">
        <v>56047.217532424307</v>
      </c>
      <c r="M678" s="712">
        <v>59225.288448314102</v>
      </c>
      <c r="N678" s="712">
        <v>61002.047101763528</v>
      </c>
      <c r="O678" s="712">
        <v>62832.108514816442</v>
      </c>
      <c r="P678" s="712">
        <v>63499.719563516977</v>
      </c>
    </row>
    <row r="679" spans="1:16" hidden="1">
      <c r="A679" s="709" t="s">
        <v>133</v>
      </c>
      <c r="B679" s="709" t="s">
        <v>662</v>
      </c>
      <c r="C679" s="709" t="s">
        <v>756</v>
      </c>
      <c r="D679" s="709" t="s">
        <v>757</v>
      </c>
      <c r="E679" s="709" t="s">
        <v>758</v>
      </c>
      <c r="F679" s="709" t="s">
        <v>759</v>
      </c>
      <c r="G679" s="709" t="s">
        <v>753</v>
      </c>
      <c r="H679" s="709">
        <v>5327</v>
      </c>
      <c r="I679" s="709" t="s">
        <v>754</v>
      </c>
      <c r="J679" s="709">
        <v>63300170</v>
      </c>
      <c r="K679" s="709" t="s">
        <v>1351</v>
      </c>
      <c r="L679" s="712">
        <v>5150.1772275196126</v>
      </c>
      <c r="M679" s="712">
        <v>5442.2100737352002</v>
      </c>
      <c r="N679" s="712">
        <v>5605.4763759472562</v>
      </c>
      <c r="O679" s="712">
        <v>5773.6406672256735</v>
      </c>
      <c r="P679" s="712">
        <v>5834.9874275330667</v>
      </c>
    </row>
    <row r="680" spans="1:16" hidden="1">
      <c r="A680" s="709" t="s">
        <v>133</v>
      </c>
      <c r="B680" s="709" t="s">
        <v>662</v>
      </c>
      <c r="C680" s="709" t="s">
        <v>760</v>
      </c>
      <c r="D680" s="709" t="s">
        <v>761</v>
      </c>
      <c r="E680" s="709" t="s">
        <v>762</v>
      </c>
      <c r="F680" s="709" t="s">
        <v>763</v>
      </c>
      <c r="G680" s="709" t="s">
        <v>753</v>
      </c>
      <c r="H680" s="709">
        <v>5327</v>
      </c>
      <c r="I680" s="709" t="s">
        <v>754</v>
      </c>
      <c r="J680" s="709">
        <v>63300170</v>
      </c>
      <c r="K680" s="709" t="s">
        <v>1351</v>
      </c>
      <c r="L680" s="712">
        <v>31892.674376777079</v>
      </c>
      <c r="M680" s="712">
        <v>33701.099225131809</v>
      </c>
      <c r="N680" s="712">
        <v>34712.132201885768</v>
      </c>
      <c r="O680" s="712">
        <v>35753.496167942343</v>
      </c>
      <c r="P680" s="712">
        <v>36133.388386039114</v>
      </c>
    </row>
    <row r="681" spans="1:16" hidden="1">
      <c r="A681" s="709" t="s">
        <v>126</v>
      </c>
      <c r="B681" s="709" t="s">
        <v>663</v>
      </c>
      <c r="C681" s="709" t="s">
        <v>764</v>
      </c>
      <c r="D681" s="709" t="s">
        <v>765</v>
      </c>
      <c r="E681" s="709" t="s">
        <v>766</v>
      </c>
      <c r="F681" s="709" t="s">
        <v>767</v>
      </c>
      <c r="G681" s="709" t="s">
        <v>753</v>
      </c>
      <c r="H681" s="709">
        <v>5325</v>
      </c>
      <c r="I681" s="709" t="s">
        <v>768</v>
      </c>
      <c r="J681" s="709">
        <v>63300170</v>
      </c>
      <c r="K681" s="709" t="s">
        <v>1351</v>
      </c>
      <c r="L681" s="712">
        <v>49112.975184922012</v>
      </c>
      <c r="M681" s="712">
        <v>51897.85059711746</v>
      </c>
      <c r="N681" s="712">
        <v>53454.786115030984</v>
      </c>
      <c r="O681" s="712">
        <v>55058.429698481916</v>
      </c>
      <c r="P681" s="712">
        <v>55643.442948230491</v>
      </c>
    </row>
    <row r="682" spans="1:16" hidden="1">
      <c r="A682" s="709" t="s">
        <v>126</v>
      </c>
      <c r="B682" s="709" t="s">
        <v>663</v>
      </c>
      <c r="C682" s="709" t="s">
        <v>769</v>
      </c>
      <c r="D682" s="709" t="s">
        <v>770</v>
      </c>
      <c r="E682" s="709" t="s">
        <v>771</v>
      </c>
      <c r="F682" s="709" t="s">
        <v>772</v>
      </c>
      <c r="G682" s="709" t="s">
        <v>753</v>
      </c>
      <c r="H682" s="709">
        <v>5325</v>
      </c>
      <c r="I682" s="709" t="s">
        <v>768</v>
      </c>
      <c r="J682" s="709">
        <v>63300170</v>
      </c>
      <c r="K682" s="709" t="s">
        <v>1351</v>
      </c>
      <c r="L682" s="712">
        <v>19612.768072297</v>
      </c>
      <c r="M682" s="712">
        <v>20724.879797640006</v>
      </c>
      <c r="N682" s="712">
        <v>21346.626191569205</v>
      </c>
      <c r="O682" s="712">
        <v>21987.02497731628</v>
      </c>
      <c r="P682" s="712">
        <v>22220.644079871934</v>
      </c>
    </row>
    <row r="683" spans="1:16" hidden="1">
      <c r="A683" s="709" t="s">
        <v>127</v>
      </c>
      <c r="B683" s="709" t="s">
        <v>663</v>
      </c>
      <c r="C683" s="709" t="s">
        <v>773</v>
      </c>
      <c r="D683" s="709" t="s">
        <v>774</v>
      </c>
      <c r="E683" s="709" t="s">
        <v>775</v>
      </c>
      <c r="F683" s="709" t="s">
        <v>776</v>
      </c>
      <c r="G683" s="709" t="s">
        <v>753</v>
      </c>
      <c r="H683" s="709">
        <v>5325</v>
      </c>
      <c r="I683" s="709" t="s">
        <v>768</v>
      </c>
      <c r="J683" s="709">
        <v>63300170</v>
      </c>
      <c r="K683" s="709" t="s">
        <v>1351</v>
      </c>
      <c r="L683" s="712">
        <v>49112.975184952156</v>
      </c>
      <c r="M683" s="712">
        <v>51897.850597149314</v>
      </c>
      <c r="N683" s="712">
        <v>53454.786115063791</v>
      </c>
      <c r="O683" s="712">
        <v>55058.429698515698</v>
      </c>
      <c r="P683" s="712">
        <v>55643.442948264637</v>
      </c>
    </row>
    <row r="684" spans="1:16" hidden="1">
      <c r="A684" s="709" t="s">
        <v>127</v>
      </c>
      <c r="B684" s="709" t="s">
        <v>663</v>
      </c>
      <c r="C684" s="709" t="s">
        <v>777</v>
      </c>
      <c r="D684" s="709" t="s">
        <v>778</v>
      </c>
      <c r="E684" s="709" t="s">
        <v>779</v>
      </c>
      <c r="F684" s="709" t="s">
        <v>780</v>
      </c>
      <c r="G684" s="709" t="s">
        <v>753</v>
      </c>
      <c r="H684" s="709">
        <v>5325</v>
      </c>
      <c r="I684" s="709" t="s">
        <v>768</v>
      </c>
      <c r="J684" s="709">
        <v>63300170</v>
      </c>
      <c r="K684" s="709" t="s">
        <v>1351</v>
      </c>
      <c r="L684" s="712">
        <v>19487.898826949298</v>
      </c>
      <c r="M684" s="712">
        <v>20592.930034571702</v>
      </c>
      <c r="N684" s="712">
        <v>21210.717935608853</v>
      </c>
      <c r="O684" s="712">
        <v>21847.03947367712</v>
      </c>
      <c r="P684" s="712">
        <v>22079.171185930325</v>
      </c>
    </row>
    <row r="685" spans="1:16" hidden="1">
      <c r="A685" s="709" t="s">
        <v>406</v>
      </c>
      <c r="B685" s="709" t="s">
        <v>664</v>
      </c>
      <c r="C685" s="709" t="s">
        <v>781</v>
      </c>
      <c r="D685" s="709" t="s">
        <v>782</v>
      </c>
      <c r="E685" s="709" t="s">
        <v>783</v>
      </c>
      <c r="F685" s="709" t="s">
        <v>784</v>
      </c>
      <c r="G685" s="709" t="s">
        <v>753</v>
      </c>
      <c r="H685" s="709">
        <v>5240</v>
      </c>
      <c r="I685" s="709" t="s">
        <v>785</v>
      </c>
      <c r="J685" s="709">
        <v>63300170</v>
      </c>
      <c r="K685" s="709" t="s">
        <v>1351</v>
      </c>
      <c r="L685" s="712">
        <v>32862.258932896875</v>
      </c>
      <c r="M685" s="712">
        <v>34725.662576167117</v>
      </c>
      <c r="N685" s="712">
        <v>35767.432453452129</v>
      </c>
      <c r="O685" s="712">
        <v>36840.455427055698</v>
      </c>
      <c r="P685" s="712">
        <v>37231.89693146522</v>
      </c>
    </row>
    <row r="686" spans="1:16" hidden="1">
      <c r="A686" s="709" t="s">
        <v>406</v>
      </c>
      <c r="B686" s="709" t="s">
        <v>664</v>
      </c>
      <c r="C686" s="709" t="s">
        <v>786</v>
      </c>
      <c r="D686" s="709" t="s">
        <v>787</v>
      </c>
      <c r="E686" s="709" t="s">
        <v>788</v>
      </c>
      <c r="F686" s="709" t="s">
        <v>789</v>
      </c>
      <c r="G686" s="709" t="s">
        <v>753</v>
      </c>
      <c r="H686" s="709">
        <v>5240</v>
      </c>
      <c r="I686" s="709" t="s">
        <v>785</v>
      </c>
      <c r="J686" s="709">
        <v>63300170</v>
      </c>
      <c r="K686" s="709" t="s">
        <v>1351</v>
      </c>
      <c r="L686" s="712">
        <v>80532.062647873667</v>
      </c>
      <c r="M686" s="712">
        <v>85098.508893840437</v>
      </c>
      <c r="N686" s="712">
        <v>87651.464160655625</v>
      </c>
      <c r="O686" s="712">
        <v>90281.008085475303</v>
      </c>
      <c r="P686" s="712">
        <v>91240.272383783435</v>
      </c>
    </row>
    <row r="687" spans="1:16" hidden="1">
      <c r="A687" s="709" t="s">
        <v>406</v>
      </c>
      <c r="B687" s="709" t="s">
        <v>664</v>
      </c>
      <c r="C687" s="709" t="s">
        <v>790</v>
      </c>
      <c r="D687" s="709" t="s">
        <v>791</v>
      </c>
      <c r="E687" s="709" t="s">
        <v>792</v>
      </c>
      <c r="F687" s="709" t="s">
        <v>793</v>
      </c>
      <c r="G687" s="709" t="s">
        <v>753</v>
      </c>
      <c r="H687" s="709">
        <v>5240</v>
      </c>
      <c r="I687" s="709" t="s">
        <v>785</v>
      </c>
      <c r="J687" s="709">
        <v>63300170</v>
      </c>
      <c r="K687" s="709" t="s">
        <v>1351</v>
      </c>
      <c r="L687" s="712">
        <v>32241.817220307359</v>
      </c>
      <c r="M687" s="712">
        <v>34070.039674419641</v>
      </c>
      <c r="N687" s="712">
        <v>35092.140864652232</v>
      </c>
      <c r="O687" s="712">
        <v>36144.905090591805</v>
      </c>
      <c r="P687" s="712">
        <v>36528.956152431005</v>
      </c>
    </row>
    <row r="688" spans="1:16" hidden="1">
      <c r="A688" s="709" t="s">
        <v>406</v>
      </c>
      <c r="B688" s="709" t="s">
        <v>664</v>
      </c>
      <c r="C688" s="709" t="s">
        <v>794</v>
      </c>
      <c r="D688" s="709" t="s">
        <v>795</v>
      </c>
      <c r="E688" s="709" t="s">
        <v>796</v>
      </c>
      <c r="F688" s="709" t="s">
        <v>797</v>
      </c>
      <c r="G688" s="709" t="s">
        <v>753</v>
      </c>
      <c r="H688" s="709">
        <v>5240</v>
      </c>
      <c r="I688" s="709" t="s">
        <v>785</v>
      </c>
      <c r="J688" s="709">
        <v>63300170</v>
      </c>
      <c r="K688" s="709" t="s">
        <v>1351</v>
      </c>
      <c r="L688" s="712">
        <v>24982.798850267933</v>
      </c>
      <c r="M688" s="712">
        <v>26399.409877882801</v>
      </c>
      <c r="N688" s="712">
        <v>27191.392174219283</v>
      </c>
      <c r="O688" s="712">
        <v>28007.133939445863</v>
      </c>
      <c r="P688" s="712">
        <v>28304.718605986229</v>
      </c>
    </row>
    <row r="689" spans="1:16" hidden="1">
      <c r="A689" s="709" t="s">
        <v>406</v>
      </c>
      <c r="B689" s="709" t="s">
        <v>664</v>
      </c>
      <c r="C689" s="709" t="s">
        <v>798</v>
      </c>
      <c r="D689" s="709" t="s">
        <v>799</v>
      </c>
      <c r="E689" s="709" t="s">
        <v>800</v>
      </c>
      <c r="F689" s="709" t="s">
        <v>801</v>
      </c>
      <c r="G689" s="709" t="s">
        <v>753</v>
      </c>
      <c r="H689" s="709">
        <v>5240</v>
      </c>
      <c r="I689" s="709" t="s">
        <v>785</v>
      </c>
      <c r="J689" s="709">
        <v>63300170</v>
      </c>
      <c r="K689" s="709" t="s">
        <v>1351</v>
      </c>
      <c r="L689" s="712">
        <v>95135.935612621237</v>
      </c>
      <c r="M689" s="712">
        <v>100530.47192214493</v>
      </c>
      <c r="N689" s="712">
        <v>103546.38607980928</v>
      </c>
      <c r="O689" s="712">
        <v>106652.77766220357</v>
      </c>
      <c r="P689" s="712">
        <v>107785.99719637055</v>
      </c>
    </row>
    <row r="690" spans="1:16" hidden="1">
      <c r="A690" s="709" t="s">
        <v>593</v>
      </c>
      <c r="B690" s="709" t="s">
        <v>665</v>
      </c>
      <c r="C690" s="709" t="s">
        <v>802</v>
      </c>
      <c r="D690" s="709" t="s">
        <v>803</v>
      </c>
      <c r="E690" s="709" t="s">
        <v>804</v>
      </c>
      <c r="F690" s="709" t="s">
        <v>805</v>
      </c>
      <c r="G690" s="709" t="s">
        <v>753</v>
      </c>
      <c r="H690" s="709">
        <v>5150</v>
      </c>
      <c r="I690" s="709" t="s">
        <v>806</v>
      </c>
      <c r="J690" s="709">
        <v>63300170</v>
      </c>
      <c r="K690" s="709" t="s">
        <v>1351</v>
      </c>
      <c r="L690" s="712">
        <v>57369.660846884501</v>
      </c>
      <c r="M690" s="712">
        <v>60622.718868658143</v>
      </c>
      <c r="N690" s="712">
        <v>62441.400434717892</v>
      </c>
      <c r="O690" s="712">
        <v>64314.642447759426</v>
      </c>
      <c r="P690" s="712">
        <v>64998.005888940512</v>
      </c>
    </row>
    <row r="691" spans="1:16" hidden="1">
      <c r="A691" s="709" t="s">
        <v>593</v>
      </c>
      <c r="B691" s="709" t="s">
        <v>665</v>
      </c>
      <c r="C691" s="709" t="s">
        <v>807</v>
      </c>
      <c r="D691" s="709" t="s">
        <v>808</v>
      </c>
      <c r="E691" s="709" t="s">
        <v>809</v>
      </c>
      <c r="F691" s="709" t="s">
        <v>810</v>
      </c>
      <c r="G691" s="709" t="s">
        <v>753</v>
      </c>
      <c r="H691" s="709">
        <v>5150</v>
      </c>
      <c r="I691" s="709" t="s">
        <v>806</v>
      </c>
      <c r="J691" s="709">
        <v>63300170</v>
      </c>
      <c r="K691" s="709" t="s">
        <v>1351</v>
      </c>
      <c r="L691" s="712">
        <v>133846.45788075187</v>
      </c>
      <c r="M691" s="712">
        <v>141436.01457443787</v>
      </c>
      <c r="N691" s="712">
        <v>145679.09501167102</v>
      </c>
      <c r="O691" s="712">
        <v>150049.46786202115</v>
      </c>
      <c r="P691" s="712">
        <v>151643.79097108406</v>
      </c>
    </row>
    <row r="692" spans="1:16" hidden="1">
      <c r="A692" s="709" t="s">
        <v>593</v>
      </c>
      <c r="B692" s="709" t="s">
        <v>665</v>
      </c>
      <c r="C692" s="709" t="s">
        <v>811</v>
      </c>
      <c r="D692" s="709" t="s">
        <v>812</v>
      </c>
      <c r="E692" s="709" t="s">
        <v>813</v>
      </c>
      <c r="F692" s="709" t="s">
        <v>814</v>
      </c>
      <c r="G692" s="709" t="s">
        <v>753</v>
      </c>
      <c r="H692" s="709">
        <v>5150</v>
      </c>
      <c r="I692" s="709" t="s">
        <v>806</v>
      </c>
      <c r="J692" s="709">
        <v>63300170</v>
      </c>
      <c r="K692" s="709" t="s">
        <v>1351</v>
      </c>
      <c r="L692" s="712">
        <v>8410.8512905826883</v>
      </c>
      <c r="M692" s="712">
        <v>8887.7756240522504</v>
      </c>
      <c r="N692" s="712">
        <v>9154.4088927738176</v>
      </c>
      <c r="O692" s="712">
        <v>9429.0411595570331</v>
      </c>
      <c r="P692" s="712">
        <v>9529.2277075747224</v>
      </c>
    </row>
    <row r="693" spans="1:16" hidden="1">
      <c r="A693" s="709" t="s">
        <v>593</v>
      </c>
      <c r="B693" s="709" t="s">
        <v>665</v>
      </c>
      <c r="C693" s="709" t="s">
        <v>815</v>
      </c>
      <c r="D693" s="709" t="s">
        <v>816</v>
      </c>
      <c r="E693" s="709" t="s">
        <v>817</v>
      </c>
      <c r="F693" s="709" t="s">
        <v>818</v>
      </c>
      <c r="G693" s="709" t="s">
        <v>753</v>
      </c>
      <c r="H693" s="709">
        <v>5150</v>
      </c>
      <c r="I693" s="709" t="s">
        <v>806</v>
      </c>
      <c r="J693" s="709">
        <v>63300170</v>
      </c>
      <c r="K693" s="709" t="s">
        <v>1351</v>
      </c>
      <c r="L693" s="712">
        <v>203458.45109566455</v>
      </c>
      <c r="M693" s="712">
        <v>214995.24836209524</v>
      </c>
      <c r="N693" s="712">
        <v>221445.10581295812</v>
      </c>
      <c r="O693" s="712">
        <v>228088.45898734685</v>
      </c>
      <c r="P693" s="712">
        <v>230511.97108809266</v>
      </c>
    </row>
    <row r="694" spans="1:16" hidden="1">
      <c r="A694" s="709" t="s">
        <v>593</v>
      </c>
      <c r="B694" s="709" t="s">
        <v>665</v>
      </c>
      <c r="C694" s="709" t="s">
        <v>819</v>
      </c>
      <c r="D694" s="709" t="s">
        <v>820</v>
      </c>
      <c r="E694" s="709" t="s">
        <v>821</v>
      </c>
      <c r="F694" s="709" t="s">
        <v>822</v>
      </c>
      <c r="G694" s="709" t="s">
        <v>753</v>
      </c>
      <c r="H694" s="709">
        <v>5150</v>
      </c>
      <c r="I694" s="709" t="s">
        <v>806</v>
      </c>
      <c r="J694" s="709">
        <v>63300170</v>
      </c>
      <c r="K694" s="709" t="s">
        <v>1351</v>
      </c>
      <c r="L694" s="712">
        <v>174915.08690921799</v>
      </c>
      <c r="M694" s="712">
        <v>184833.37678926295</v>
      </c>
      <c r="N694" s="712">
        <v>190378.37809294084</v>
      </c>
      <c r="O694" s="712">
        <v>196089.7294357291</v>
      </c>
      <c r="P694" s="712">
        <v>198173.24490262006</v>
      </c>
    </row>
    <row r="695" spans="1:16" hidden="1">
      <c r="A695" s="709" t="s">
        <v>593</v>
      </c>
      <c r="B695" s="709" t="s">
        <v>666</v>
      </c>
      <c r="C695" s="709" t="s">
        <v>823</v>
      </c>
      <c r="D695" s="709" t="s">
        <v>824</v>
      </c>
      <c r="E695" s="709" t="s">
        <v>825</v>
      </c>
      <c r="F695" s="709" t="s">
        <v>826</v>
      </c>
      <c r="G695" s="709" t="s">
        <v>753</v>
      </c>
      <c r="H695" s="709">
        <v>5031</v>
      </c>
      <c r="I695" s="709" t="s">
        <v>827</v>
      </c>
      <c r="J695" s="709">
        <v>63300170</v>
      </c>
      <c r="K695" s="709" t="s">
        <v>1351</v>
      </c>
      <c r="L695" s="712">
        <v>63788.511944973281</v>
      </c>
      <c r="M695" s="712">
        <v>67405.541005567211</v>
      </c>
      <c r="N695" s="712">
        <v>69427.707235734226</v>
      </c>
      <c r="O695" s="712">
        <v>71510.538452806257</v>
      </c>
      <c r="P695" s="712">
        <v>72270.36056761496</v>
      </c>
    </row>
    <row r="696" spans="1:16" hidden="1">
      <c r="A696" s="709" t="s">
        <v>397</v>
      </c>
      <c r="B696" s="709" t="s">
        <v>666</v>
      </c>
      <c r="C696" s="709" t="s">
        <v>828</v>
      </c>
      <c r="D696" s="709" t="s">
        <v>829</v>
      </c>
      <c r="E696" s="709" t="s">
        <v>830</v>
      </c>
      <c r="F696" s="709" t="s">
        <v>831</v>
      </c>
      <c r="G696" s="709" t="s">
        <v>753</v>
      </c>
      <c r="H696" s="709">
        <v>5031</v>
      </c>
      <c r="I696" s="709" t="s">
        <v>827</v>
      </c>
      <c r="J696" s="709">
        <v>63300170</v>
      </c>
      <c r="K696" s="709" t="s">
        <v>1351</v>
      </c>
      <c r="L696" s="712">
        <v>8805.2816728465714</v>
      </c>
      <c r="M696" s="712">
        <v>9304.5715720195676</v>
      </c>
      <c r="N696" s="712">
        <v>9583.7087191801547</v>
      </c>
      <c r="O696" s="712">
        <v>9871.2199807555589</v>
      </c>
      <c r="P696" s="712">
        <v>9976.1048187640081</v>
      </c>
    </row>
    <row r="697" spans="1:16" hidden="1">
      <c r="A697" s="709" t="s">
        <v>593</v>
      </c>
      <c r="B697" s="709" t="s">
        <v>666</v>
      </c>
      <c r="C697" s="709" t="s">
        <v>832</v>
      </c>
      <c r="D697" s="709" t="s">
        <v>833</v>
      </c>
      <c r="E697" s="709" t="s">
        <v>834</v>
      </c>
      <c r="F697" s="709" t="s">
        <v>835</v>
      </c>
      <c r="G697" s="709" t="s">
        <v>753</v>
      </c>
      <c r="H697" s="709">
        <v>5031</v>
      </c>
      <c r="I697" s="709" t="s">
        <v>827</v>
      </c>
      <c r="J697" s="709">
        <v>63300170</v>
      </c>
      <c r="K697" s="709" t="s">
        <v>1351</v>
      </c>
      <c r="L697" s="712">
        <v>11904.201388379639</v>
      </c>
      <c r="M697" s="712">
        <v>12579.210744328801</v>
      </c>
      <c r="N697" s="712">
        <v>12956.587066658665</v>
      </c>
      <c r="O697" s="712">
        <v>13345.284678658425</v>
      </c>
      <c r="P697" s="712">
        <v>13487.082554141552</v>
      </c>
    </row>
    <row r="698" spans="1:16" hidden="1">
      <c r="A698" s="709" t="s">
        <v>398</v>
      </c>
      <c r="B698" s="709" t="s">
        <v>667</v>
      </c>
      <c r="C698" s="709" t="s">
        <v>836</v>
      </c>
      <c r="D698" s="709" t="s">
        <v>837</v>
      </c>
      <c r="E698" s="709" t="s">
        <v>838</v>
      </c>
      <c r="F698" s="709" t="s">
        <v>839</v>
      </c>
      <c r="G698" s="709" t="s">
        <v>753</v>
      </c>
      <c r="H698" s="709">
        <v>5025</v>
      </c>
      <c r="I698" s="709" t="s">
        <v>840</v>
      </c>
      <c r="J698" s="709">
        <v>63300170</v>
      </c>
      <c r="K698" s="709" t="s">
        <v>1351</v>
      </c>
      <c r="L698" s="712">
        <v>63865.390048100038</v>
      </c>
      <c r="M698" s="712">
        <v>67486.778362808138</v>
      </c>
      <c r="N698" s="712">
        <v>69511.38171369239</v>
      </c>
      <c r="O698" s="712">
        <v>71596.723165103162</v>
      </c>
      <c r="P698" s="712">
        <v>72357.46101977033</v>
      </c>
    </row>
    <row r="699" spans="1:16" hidden="1">
      <c r="A699" s="709" t="s">
        <v>398</v>
      </c>
      <c r="B699" s="709" t="s">
        <v>667</v>
      </c>
      <c r="C699" s="709" t="s">
        <v>841</v>
      </c>
      <c r="D699" s="709" t="s">
        <v>842</v>
      </c>
      <c r="E699" s="709" t="s">
        <v>843</v>
      </c>
      <c r="F699" s="709" t="s">
        <v>844</v>
      </c>
      <c r="G699" s="709" t="s">
        <v>753</v>
      </c>
      <c r="H699" s="709">
        <v>5025</v>
      </c>
      <c r="I699" s="709" t="s">
        <v>840</v>
      </c>
      <c r="J699" s="709">
        <v>63300170</v>
      </c>
      <c r="K699" s="709" t="s">
        <v>1351</v>
      </c>
      <c r="L699" s="712">
        <v>1643.1220333078886</v>
      </c>
      <c r="M699" s="712">
        <v>1736.292730716596</v>
      </c>
      <c r="N699" s="712">
        <v>1788.3815126380941</v>
      </c>
      <c r="O699" s="712">
        <v>1842.032958017237</v>
      </c>
      <c r="P699" s="712">
        <v>1861.6051414742483</v>
      </c>
    </row>
    <row r="700" spans="1:16" hidden="1">
      <c r="A700" s="709" t="s">
        <v>398</v>
      </c>
      <c r="B700" s="709" t="s">
        <v>667</v>
      </c>
      <c r="C700" s="709" t="s">
        <v>845</v>
      </c>
      <c r="D700" s="709" t="s">
        <v>846</v>
      </c>
      <c r="E700" s="709" t="s">
        <v>847</v>
      </c>
      <c r="F700" s="709" t="s">
        <v>848</v>
      </c>
      <c r="G700" s="709" t="s">
        <v>753</v>
      </c>
      <c r="H700" s="709">
        <v>5025</v>
      </c>
      <c r="I700" s="709" t="s">
        <v>840</v>
      </c>
      <c r="J700" s="709">
        <v>63300170</v>
      </c>
      <c r="K700" s="709" t="s">
        <v>1351</v>
      </c>
      <c r="L700" s="712">
        <v>1613.282385405628</v>
      </c>
      <c r="M700" s="712">
        <v>1704.7610716617085</v>
      </c>
      <c r="N700" s="712">
        <v>1755.9039038115598</v>
      </c>
      <c r="O700" s="712">
        <v>1808.5810209259066</v>
      </c>
      <c r="P700" s="712">
        <v>1827.7977669587967</v>
      </c>
    </row>
    <row r="701" spans="1:16" hidden="1">
      <c r="A701" s="709" t="s">
        <v>398</v>
      </c>
      <c r="B701" s="709" t="s">
        <v>667</v>
      </c>
      <c r="C701" s="709" t="s">
        <v>849</v>
      </c>
      <c r="D701" s="709" t="s">
        <v>850</v>
      </c>
      <c r="E701" s="709" t="s">
        <v>851</v>
      </c>
      <c r="F701" s="709" t="s">
        <v>852</v>
      </c>
      <c r="G701" s="709" t="s">
        <v>753</v>
      </c>
      <c r="H701" s="709">
        <v>5025</v>
      </c>
      <c r="I701" s="709" t="s">
        <v>840</v>
      </c>
      <c r="J701" s="709">
        <v>63300170</v>
      </c>
      <c r="K701" s="709" t="s">
        <v>1351</v>
      </c>
      <c r="L701" s="712">
        <v>16587.197031576768</v>
      </c>
      <c r="M701" s="712">
        <v>17527.748423475769</v>
      </c>
      <c r="N701" s="712">
        <v>18053.580876180036</v>
      </c>
      <c r="O701" s="712">
        <v>18595.188302465442</v>
      </c>
      <c r="P701" s="712">
        <v>18792.768066328776</v>
      </c>
    </row>
    <row r="702" spans="1:16" hidden="1">
      <c r="A702" s="709" t="s">
        <v>398</v>
      </c>
      <c r="B702" s="709" t="s">
        <v>667</v>
      </c>
      <c r="C702" s="709" t="s">
        <v>853</v>
      </c>
      <c r="D702" s="709" t="s">
        <v>854</v>
      </c>
      <c r="E702" s="709" t="s">
        <v>855</v>
      </c>
      <c r="F702" s="709" t="s">
        <v>856</v>
      </c>
      <c r="G702" s="709" t="s">
        <v>753</v>
      </c>
      <c r="H702" s="709">
        <v>5025</v>
      </c>
      <c r="I702" s="709" t="s">
        <v>840</v>
      </c>
      <c r="J702" s="709">
        <v>63300170</v>
      </c>
      <c r="K702" s="709" t="s">
        <v>1351</v>
      </c>
      <c r="L702" s="712">
        <v>1897.9900806801165</v>
      </c>
      <c r="M702" s="712">
        <v>2005.6126771197564</v>
      </c>
      <c r="N702" s="712">
        <v>2065.7810574333489</v>
      </c>
      <c r="O702" s="712">
        <v>2127.7544891563498</v>
      </c>
      <c r="P702" s="712">
        <v>2150.3625543551798</v>
      </c>
    </row>
    <row r="703" spans="1:16" hidden="1">
      <c r="A703" s="709" t="s">
        <v>398</v>
      </c>
      <c r="B703" s="709" t="s">
        <v>667</v>
      </c>
      <c r="C703" s="709" t="s">
        <v>857</v>
      </c>
      <c r="D703" s="709" t="s">
        <v>858</v>
      </c>
      <c r="E703" s="709" t="s">
        <v>859</v>
      </c>
      <c r="F703" s="709" t="s">
        <v>860</v>
      </c>
      <c r="G703" s="709" t="s">
        <v>753</v>
      </c>
      <c r="H703" s="709">
        <v>5025</v>
      </c>
      <c r="I703" s="709" t="s">
        <v>840</v>
      </c>
      <c r="J703" s="709">
        <v>63300170</v>
      </c>
      <c r="K703" s="709" t="s">
        <v>1351</v>
      </c>
      <c r="L703" s="712">
        <v>19401.539403950934</v>
      </c>
      <c r="M703" s="712">
        <v>20501.673733857948</v>
      </c>
      <c r="N703" s="712">
        <v>21116.723945873688</v>
      </c>
      <c r="O703" s="712">
        <v>21750.225664249898</v>
      </c>
      <c r="P703" s="712">
        <v>21981.328699121932</v>
      </c>
    </row>
    <row r="704" spans="1:16" hidden="1">
      <c r="A704" s="709" t="s">
        <v>398</v>
      </c>
      <c r="B704" s="709" t="s">
        <v>667</v>
      </c>
      <c r="C704" s="709" t="s">
        <v>861</v>
      </c>
      <c r="D704" s="709" t="s">
        <v>862</v>
      </c>
      <c r="E704" s="709" t="s">
        <v>863</v>
      </c>
      <c r="F704" s="709" t="s">
        <v>864</v>
      </c>
      <c r="G704" s="709" t="s">
        <v>753</v>
      </c>
      <c r="H704" s="709">
        <v>5025</v>
      </c>
      <c r="I704" s="709" t="s">
        <v>840</v>
      </c>
      <c r="J704" s="709">
        <v>63300170</v>
      </c>
      <c r="K704" s="709" t="s">
        <v>1351</v>
      </c>
      <c r="L704" s="712">
        <v>141979.49594345654</v>
      </c>
      <c r="M704" s="712">
        <v>150030.22400055506</v>
      </c>
      <c r="N704" s="712">
        <v>154531.13072057173</v>
      </c>
      <c r="O704" s="712">
        <v>159167.0646421889</v>
      </c>
      <c r="P704" s="712">
        <v>160858.2651041199</v>
      </c>
    </row>
    <row r="705" spans="1:16" hidden="1">
      <c r="A705" s="709" t="s">
        <v>398</v>
      </c>
      <c r="B705" s="709" t="s">
        <v>667</v>
      </c>
      <c r="C705" s="709" t="s">
        <v>865</v>
      </c>
      <c r="D705" s="709" t="s">
        <v>866</v>
      </c>
      <c r="E705" s="709" t="s">
        <v>867</v>
      </c>
      <c r="F705" s="709" t="s">
        <v>868</v>
      </c>
      <c r="G705" s="709" t="s">
        <v>753</v>
      </c>
      <c r="H705" s="709">
        <v>5025</v>
      </c>
      <c r="I705" s="709" t="s">
        <v>840</v>
      </c>
      <c r="J705" s="709">
        <v>63300170</v>
      </c>
      <c r="K705" s="709" t="s">
        <v>1351</v>
      </c>
      <c r="L705" s="712">
        <v>1676.3417296983828</v>
      </c>
      <c r="M705" s="712">
        <v>1771.3960986893992</v>
      </c>
      <c r="N705" s="712">
        <v>1824.5379816500811</v>
      </c>
      <c r="O705" s="712">
        <v>1879.2741210995837</v>
      </c>
      <c r="P705" s="712">
        <v>1899.2420037067257</v>
      </c>
    </row>
    <row r="706" spans="1:16" hidden="1">
      <c r="A706" s="709" t="s">
        <v>398</v>
      </c>
      <c r="B706" s="709" t="s">
        <v>667</v>
      </c>
      <c r="C706" s="709" t="s">
        <v>869</v>
      </c>
      <c r="D706" s="709" t="s">
        <v>870</v>
      </c>
      <c r="E706" s="709" t="s">
        <v>871</v>
      </c>
      <c r="F706" s="709" t="s">
        <v>872</v>
      </c>
      <c r="G706" s="709" t="s">
        <v>753</v>
      </c>
      <c r="H706" s="709">
        <v>5025</v>
      </c>
      <c r="I706" s="709" t="s">
        <v>840</v>
      </c>
      <c r="J706" s="709">
        <v>63300170</v>
      </c>
      <c r="K706" s="709" t="s">
        <v>1351</v>
      </c>
      <c r="L706" s="712">
        <v>839.85949609865872</v>
      </c>
      <c r="M706" s="712">
        <v>887.48243182139765</v>
      </c>
      <c r="N706" s="712">
        <v>914.10690477603964</v>
      </c>
      <c r="O706" s="712">
        <v>941.5301119193208</v>
      </c>
      <c r="P706" s="712">
        <v>951.53416749312612</v>
      </c>
    </row>
    <row r="707" spans="1:16" hidden="1">
      <c r="A707" s="709" t="s">
        <v>397</v>
      </c>
      <c r="B707" s="709" t="s">
        <v>873</v>
      </c>
      <c r="C707" s="709" t="s">
        <v>874</v>
      </c>
      <c r="D707" s="709" t="s">
        <v>875</v>
      </c>
      <c r="E707" s="709" t="s">
        <v>876</v>
      </c>
      <c r="F707" s="709" t="s">
        <v>877</v>
      </c>
      <c r="G707" s="709" t="s">
        <v>753</v>
      </c>
      <c r="H707" s="709">
        <v>5024</v>
      </c>
      <c r="I707" s="709" t="s">
        <v>878</v>
      </c>
      <c r="J707" s="709">
        <v>63300170</v>
      </c>
      <c r="K707" s="709" t="s">
        <v>1351</v>
      </c>
      <c r="L707" s="712">
        <v>38613.166150291654</v>
      </c>
      <c r="M707" s="712">
        <v>40802.666106139943</v>
      </c>
      <c r="N707" s="712">
        <v>42026.746089324137</v>
      </c>
      <c r="O707" s="712">
        <v>43287.548472003866</v>
      </c>
      <c r="P707" s="712">
        <v>43747.492381482167</v>
      </c>
    </row>
    <row r="708" spans="1:16" hidden="1">
      <c r="A708" s="709" t="s">
        <v>399</v>
      </c>
      <c r="B708" s="709" t="s">
        <v>668</v>
      </c>
      <c r="C708" s="709" t="s">
        <v>879</v>
      </c>
      <c r="D708" s="709" t="s">
        <v>880</v>
      </c>
      <c r="E708" s="709" t="s">
        <v>881</v>
      </c>
      <c r="F708" s="709" t="s">
        <v>882</v>
      </c>
      <c r="G708" s="709" t="s">
        <v>753</v>
      </c>
      <c r="H708" s="709">
        <v>5021</v>
      </c>
      <c r="I708" s="709" t="s">
        <v>883</v>
      </c>
      <c r="J708" s="709">
        <v>63300170</v>
      </c>
      <c r="K708" s="709" t="s">
        <v>1351</v>
      </c>
      <c r="L708" s="712">
        <v>7613.7339681536123</v>
      </c>
      <c r="M708" s="712">
        <v>8045.4589948511966</v>
      </c>
      <c r="N708" s="712">
        <v>8286.8227646967334</v>
      </c>
      <c r="O708" s="712">
        <v>8535.4274476376359</v>
      </c>
      <c r="P708" s="712">
        <v>8626.1190670042051</v>
      </c>
    </row>
    <row r="709" spans="1:16" hidden="1">
      <c r="A709" s="709" t="s">
        <v>399</v>
      </c>
      <c r="B709" s="709" t="s">
        <v>668</v>
      </c>
      <c r="C709" s="709" t="s">
        <v>884</v>
      </c>
      <c r="D709" s="709" t="s">
        <v>885</v>
      </c>
      <c r="E709" s="709" t="s">
        <v>886</v>
      </c>
      <c r="F709" s="709" t="s">
        <v>887</v>
      </c>
      <c r="G709" s="709" t="s">
        <v>753</v>
      </c>
      <c r="H709" s="709">
        <v>5021</v>
      </c>
      <c r="I709" s="709" t="s">
        <v>883</v>
      </c>
      <c r="J709" s="709">
        <v>63300170</v>
      </c>
      <c r="K709" s="709" t="s">
        <v>1351</v>
      </c>
      <c r="L709" s="712">
        <v>25558.550533910267</v>
      </c>
      <c r="M709" s="712">
        <v>27007.808671606908</v>
      </c>
      <c r="N709" s="712">
        <v>27818.042931755117</v>
      </c>
      <c r="O709" s="712">
        <v>28652.584219707773</v>
      </c>
      <c r="P709" s="712">
        <v>28957.026999857171</v>
      </c>
    </row>
    <row r="710" spans="1:16" hidden="1">
      <c r="A710" s="709" t="s">
        <v>399</v>
      </c>
      <c r="B710" s="709" t="s">
        <v>668</v>
      </c>
      <c r="C710" s="709" t="s">
        <v>888</v>
      </c>
      <c r="D710" s="709" t="s">
        <v>889</v>
      </c>
      <c r="E710" s="709" t="s">
        <v>890</v>
      </c>
      <c r="F710" s="709" t="s">
        <v>891</v>
      </c>
      <c r="G710" s="709" t="s">
        <v>753</v>
      </c>
      <c r="H710" s="709">
        <v>5021</v>
      </c>
      <c r="I710" s="709" t="s">
        <v>883</v>
      </c>
      <c r="J710" s="709">
        <v>63300170</v>
      </c>
      <c r="K710" s="709" t="s">
        <v>1351</v>
      </c>
      <c r="L710" s="712">
        <v>16179.183363504893</v>
      </c>
      <c r="M710" s="712">
        <v>17096.598970455521</v>
      </c>
      <c r="N710" s="712">
        <v>17609.496939569184</v>
      </c>
      <c r="O710" s="712">
        <v>18137.781847756261</v>
      </c>
      <c r="P710" s="712">
        <v>18330.501523200968</v>
      </c>
    </row>
    <row r="711" spans="1:16" hidden="1">
      <c r="A711" s="709" t="s">
        <v>399</v>
      </c>
      <c r="B711" s="709" t="s">
        <v>668</v>
      </c>
      <c r="C711" s="709" t="s">
        <v>892</v>
      </c>
      <c r="D711" s="709" t="s">
        <v>893</v>
      </c>
      <c r="E711" s="709" t="s">
        <v>894</v>
      </c>
      <c r="F711" s="709" t="s">
        <v>895</v>
      </c>
      <c r="G711" s="709" t="s">
        <v>753</v>
      </c>
      <c r="H711" s="709">
        <v>5021</v>
      </c>
      <c r="I711" s="709" t="s">
        <v>883</v>
      </c>
      <c r="J711" s="709">
        <v>63300170</v>
      </c>
      <c r="K711" s="709" t="s">
        <v>1351</v>
      </c>
      <c r="L711" s="712">
        <v>147643.82219123279</v>
      </c>
      <c r="M711" s="712">
        <v>156015.73712073499</v>
      </c>
      <c r="N711" s="712">
        <v>160696.20923435705</v>
      </c>
      <c r="O711" s="712">
        <v>165517.09551138777</v>
      </c>
      <c r="P711" s="712">
        <v>167275.76706203559</v>
      </c>
    </row>
    <row r="712" spans="1:16" hidden="1">
      <c r="A712" s="709" t="s">
        <v>399</v>
      </c>
      <c r="B712" s="709" t="s">
        <v>668</v>
      </c>
      <c r="C712" s="709" t="s">
        <v>896</v>
      </c>
      <c r="D712" s="709" t="s">
        <v>897</v>
      </c>
      <c r="E712" s="709" t="s">
        <v>898</v>
      </c>
      <c r="F712" s="709" t="s">
        <v>899</v>
      </c>
      <c r="G712" s="709" t="s">
        <v>753</v>
      </c>
      <c r="H712" s="709">
        <v>5021</v>
      </c>
      <c r="I712" s="709" t="s">
        <v>883</v>
      </c>
      <c r="J712" s="709">
        <v>63300170</v>
      </c>
      <c r="K712" s="709" t="s">
        <v>1351</v>
      </c>
      <c r="L712" s="712">
        <v>94493.606883635395</v>
      </c>
      <c r="M712" s="712">
        <v>99851.720934536716</v>
      </c>
      <c r="N712" s="712">
        <v>102847.27256257282</v>
      </c>
      <c r="O712" s="712">
        <v>105932.69073945002</v>
      </c>
      <c r="P712" s="712">
        <v>107058.25912204785</v>
      </c>
    </row>
    <row r="713" spans="1:16" hidden="1">
      <c r="A713" s="709" t="s">
        <v>399</v>
      </c>
      <c r="B713" s="709" t="s">
        <v>668</v>
      </c>
      <c r="C713" s="709" t="s">
        <v>900</v>
      </c>
      <c r="D713" s="709" t="s">
        <v>901</v>
      </c>
      <c r="E713" s="709" t="s">
        <v>902</v>
      </c>
      <c r="F713" s="709" t="s">
        <v>903</v>
      </c>
      <c r="G713" s="709" t="s">
        <v>753</v>
      </c>
      <c r="H713" s="709">
        <v>5021</v>
      </c>
      <c r="I713" s="709" t="s">
        <v>883</v>
      </c>
      <c r="J713" s="709">
        <v>63300170</v>
      </c>
      <c r="K713" s="709" t="s">
        <v>1351</v>
      </c>
      <c r="L713" s="712">
        <v>1879.0361692061742</v>
      </c>
      <c r="M713" s="712">
        <v>1985.5840133664019</v>
      </c>
      <c r="N713" s="712">
        <v>2045.1515337673936</v>
      </c>
      <c r="O713" s="712">
        <v>2106.5060797804153</v>
      </c>
      <c r="P713" s="712">
        <v>2128.8883739013363</v>
      </c>
    </row>
    <row r="714" spans="1:16" hidden="1">
      <c r="A714" s="709" t="s">
        <v>407</v>
      </c>
      <c r="B714" s="709" t="s">
        <v>669</v>
      </c>
      <c r="C714" s="709" t="s">
        <v>904</v>
      </c>
      <c r="D714" s="709" t="s">
        <v>905</v>
      </c>
      <c r="E714" s="709" t="s">
        <v>906</v>
      </c>
      <c r="F714" s="709" t="s">
        <v>907</v>
      </c>
      <c r="G714" s="709" t="s">
        <v>753</v>
      </c>
      <c r="H714" s="709">
        <v>5020</v>
      </c>
      <c r="I714" s="709" t="s">
        <v>908</v>
      </c>
      <c r="J714" s="709">
        <v>63300170</v>
      </c>
      <c r="K714" s="709" t="s">
        <v>1351</v>
      </c>
      <c r="L714" s="712">
        <v>65024.543262016094</v>
      </c>
      <c r="M714" s="712">
        <v>68711.659569627242</v>
      </c>
      <c r="N714" s="712">
        <v>70773.009356716066</v>
      </c>
      <c r="O714" s="712">
        <v>72896.199637417551</v>
      </c>
      <c r="P714" s="712">
        <v>73670.744841081119</v>
      </c>
    </row>
    <row r="715" spans="1:16" hidden="1">
      <c r="A715" s="709" t="s">
        <v>405</v>
      </c>
      <c r="B715" s="709" t="s">
        <v>669</v>
      </c>
      <c r="C715" s="709" t="s">
        <v>909</v>
      </c>
      <c r="D715" s="709" t="s">
        <v>910</v>
      </c>
      <c r="E715" s="709" t="s">
        <v>911</v>
      </c>
      <c r="F715" s="709" t="s">
        <v>912</v>
      </c>
      <c r="G715" s="709" t="s">
        <v>753</v>
      </c>
      <c r="H715" s="709">
        <v>5020</v>
      </c>
      <c r="I715" s="709" t="s">
        <v>908</v>
      </c>
      <c r="J715" s="709">
        <v>63300170</v>
      </c>
      <c r="K715" s="709" t="s">
        <v>1351</v>
      </c>
      <c r="L715" s="712">
        <v>13836.865188520553</v>
      </c>
      <c r="M715" s="712">
        <v>14621.463260624401</v>
      </c>
      <c r="N715" s="712">
        <v>15060.107158443134</v>
      </c>
      <c r="O715" s="712">
        <v>15511.910373196428</v>
      </c>
      <c r="P715" s="712">
        <v>15676.729332744098</v>
      </c>
    </row>
    <row r="716" spans="1:16" hidden="1">
      <c r="A716" s="709" t="s">
        <v>397</v>
      </c>
      <c r="B716" s="709" t="s">
        <v>669</v>
      </c>
      <c r="C716" s="709" t="s">
        <v>913</v>
      </c>
      <c r="D716" s="709" t="s">
        <v>914</v>
      </c>
      <c r="E716" s="709" t="s">
        <v>915</v>
      </c>
      <c r="F716" s="709" t="s">
        <v>916</v>
      </c>
      <c r="G716" s="709" t="s">
        <v>753</v>
      </c>
      <c r="H716" s="709">
        <v>5020</v>
      </c>
      <c r="I716" s="709" t="s">
        <v>908</v>
      </c>
      <c r="J716" s="709">
        <v>63300170</v>
      </c>
      <c r="K716" s="709" t="s">
        <v>1351</v>
      </c>
      <c r="L716" s="712">
        <v>47424.812577128832</v>
      </c>
      <c r="M716" s="712">
        <v>50113.963335695997</v>
      </c>
      <c r="N716" s="712">
        <v>51617.382235766876</v>
      </c>
      <c r="O716" s="712">
        <v>53165.903702839889</v>
      </c>
      <c r="P716" s="712">
        <v>53730.808264618121</v>
      </c>
    </row>
    <row r="717" spans="1:16" hidden="1">
      <c r="A717" s="709" t="s">
        <v>287</v>
      </c>
      <c r="B717" s="709" t="s">
        <v>670</v>
      </c>
      <c r="C717" s="709" t="s">
        <v>917</v>
      </c>
      <c r="D717" s="709" t="s">
        <v>918</v>
      </c>
      <c r="E717" s="709" t="s">
        <v>919</v>
      </c>
      <c r="F717" s="709" t="s">
        <v>920</v>
      </c>
      <c r="G717" s="709" t="s">
        <v>753</v>
      </c>
      <c r="H717" s="709">
        <v>5019</v>
      </c>
      <c r="I717" s="709" t="s">
        <v>921</v>
      </c>
      <c r="J717" s="709">
        <v>63300170</v>
      </c>
      <c r="K717" s="709" t="s">
        <v>1351</v>
      </c>
      <c r="L717" s="712">
        <v>5942.86880309353</v>
      </c>
      <c r="M717" s="712">
        <v>6279.8500009403988</v>
      </c>
      <c r="N717" s="712">
        <v>6468.2455009686109</v>
      </c>
      <c r="O717" s="712">
        <v>6662.2928659976697</v>
      </c>
      <c r="P717" s="712">
        <v>6733.0818373079346</v>
      </c>
    </row>
    <row r="718" spans="1:16" hidden="1">
      <c r="A718" s="709" t="s">
        <v>287</v>
      </c>
      <c r="B718" s="709" t="s">
        <v>670</v>
      </c>
      <c r="C718" s="709" t="s">
        <v>922</v>
      </c>
      <c r="D718" s="709" t="s">
        <v>923</v>
      </c>
      <c r="E718" s="709" t="s">
        <v>924</v>
      </c>
      <c r="F718" s="709" t="s">
        <v>925</v>
      </c>
      <c r="G718" s="709" t="s">
        <v>753</v>
      </c>
      <c r="H718" s="709">
        <v>5019</v>
      </c>
      <c r="I718" s="709" t="s">
        <v>921</v>
      </c>
      <c r="J718" s="709">
        <v>63300170</v>
      </c>
      <c r="K718" s="709" t="s">
        <v>1351</v>
      </c>
      <c r="L718" s="712">
        <v>7140.5953615245735</v>
      </c>
      <c r="M718" s="712">
        <v>7545.4917942060056</v>
      </c>
      <c r="N718" s="712">
        <v>7771.8565480321859</v>
      </c>
      <c r="O718" s="712">
        <v>8005.0122444731514</v>
      </c>
      <c r="P718" s="712">
        <v>8090.068034350601</v>
      </c>
    </row>
    <row r="719" spans="1:16" hidden="1">
      <c r="A719" s="709" t="s">
        <v>287</v>
      </c>
      <c r="B719" s="709" t="s">
        <v>670</v>
      </c>
      <c r="C719" s="709" t="s">
        <v>926</v>
      </c>
      <c r="D719" s="709" t="s">
        <v>927</v>
      </c>
      <c r="E719" s="709" t="s">
        <v>928</v>
      </c>
      <c r="F719" s="709" t="s">
        <v>929</v>
      </c>
      <c r="G719" s="709" t="s">
        <v>753</v>
      </c>
      <c r="H719" s="709">
        <v>5019</v>
      </c>
      <c r="I719" s="709" t="s">
        <v>921</v>
      </c>
      <c r="J719" s="709">
        <v>63300170</v>
      </c>
      <c r="K719" s="709" t="s">
        <v>1351</v>
      </c>
      <c r="L719" s="712">
        <v>8654.9716666718687</v>
      </c>
      <c r="M719" s="712">
        <v>9145.7384690699946</v>
      </c>
      <c r="N719" s="712">
        <v>9420.1106231420945</v>
      </c>
      <c r="O719" s="712">
        <v>9702.7139418363549</v>
      </c>
      <c r="P719" s="712">
        <v>9805.808349824003</v>
      </c>
    </row>
    <row r="720" spans="1:16" hidden="1">
      <c r="A720" s="709" t="s">
        <v>287</v>
      </c>
      <c r="B720" s="709" t="s">
        <v>670</v>
      </c>
      <c r="C720" s="709" t="s">
        <v>930</v>
      </c>
      <c r="D720" s="709" t="s">
        <v>931</v>
      </c>
      <c r="E720" s="709" t="s">
        <v>932</v>
      </c>
      <c r="F720" s="709" t="s">
        <v>933</v>
      </c>
      <c r="G720" s="709" t="s">
        <v>753</v>
      </c>
      <c r="H720" s="709">
        <v>5019</v>
      </c>
      <c r="I720" s="709" t="s">
        <v>921</v>
      </c>
      <c r="J720" s="709">
        <v>63300170</v>
      </c>
      <c r="K720" s="709" t="s">
        <v>1351</v>
      </c>
      <c r="L720" s="712">
        <v>14691.192816378853</v>
      </c>
      <c r="M720" s="712">
        <v>15524.234217273588</v>
      </c>
      <c r="N720" s="712">
        <v>15989.961243791797</v>
      </c>
      <c r="O720" s="712">
        <v>16469.66008110555</v>
      </c>
      <c r="P720" s="712">
        <v>16644.655434570337</v>
      </c>
    </row>
    <row r="721" spans="1:16" hidden="1">
      <c r="A721" s="709" t="s">
        <v>287</v>
      </c>
      <c r="B721" s="709" t="s">
        <v>670</v>
      </c>
      <c r="C721" s="709" t="s">
        <v>934</v>
      </c>
      <c r="D721" s="709" t="s">
        <v>935</v>
      </c>
      <c r="E721" s="709" t="s">
        <v>936</v>
      </c>
      <c r="F721" s="709" t="s">
        <v>937</v>
      </c>
      <c r="G721" s="709" t="s">
        <v>753</v>
      </c>
      <c r="H721" s="709">
        <v>5019</v>
      </c>
      <c r="I721" s="709" t="s">
        <v>921</v>
      </c>
      <c r="J721" s="709">
        <v>63300170</v>
      </c>
      <c r="K721" s="709" t="s">
        <v>1351</v>
      </c>
      <c r="L721" s="712">
        <v>124916.04367467853</v>
      </c>
      <c r="M721" s="712">
        <v>131999.21502213835</v>
      </c>
      <c r="N721" s="712">
        <v>135959.19147280249</v>
      </c>
      <c r="O721" s="712">
        <v>140037.96721698658</v>
      </c>
      <c r="P721" s="712">
        <v>141525.91496156334</v>
      </c>
    </row>
    <row r="722" spans="1:16" hidden="1">
      <c r="A722" s="709" t="s">
        <v>287</v>
      </c>
      <c r="B722" s="709" t="s">
        <v>670</v>
      </c>
      <c r="C722" s="709" t="s">
        <v>938</v>
      </c>
      <c r="D722" s="709" t="s">
        <v>939</v>
      </c>
      <c r="E722" s="709" t="s">
        <v>940</v>
      </c>
      <c r="F722" s="709" t="s">
        <v>941</v>
      </c>
      <c r="G722" s="709" t="s">
        <v>753</v>
      </c>
      <c r="H722" s="709">
        <v>5019</v>
      </c>
      <c r="I722" s="709" t="s">
        <v>921</v>
      </c>
      <c r="J722" s="709">
        <v>63300170</v>
      </c>
      <c r="K722" s="709" t="s">
        <v>1351</v>
      </c>
      <c r="L722" s="712">
        <v>6449.1889056115187</v>
      </c>
      <c r="M722" s="712">
        <v>6814.8802029564022</v>
      </c>
      <c r="N722" s="712">
        <v>7019.3266090450943</v>
      </c>
      <c r="O722" s="712">
        <v>7229.9064073164463</v>
      </c>
      <c r="P722" s="712">
        <v>7306.7264522375399</v>
      </c>
    </row>
    <row r="723" spans="1:16" hidden="1">
      <c r="A723" s="709" t="s">
        <v>287</v>
      </c>
      <c r="B723" s="709" t="s">
        <v>670</v>
      </c>
      <c r="C723" s="709" t="s">
        <v>942</v>
      </c>
      <c r="D723" s="709" t="s">
        <v>943</v>
      </c>
      <c r="E723" s="709" t="s">
        <v>944</v>
      </c>
      <c r="F723" s="709" t="s">
        <v>945</v>
      </c>
      <c r="G723" s="709" t="s">
        <v>753</v>
      </c>
      <c r="H723" s="709">
        <v>5019</v>
      </c>
      <c r="I723" s="709" t="s">
        <v>921</v>
      </c>
      <c r="J723" s="709">
        <v>63300170</v>
      </c>
      <c r="K723" s="709" t="s">
        <v>1351</v>
      </c>
      <c r="L723" s="712">
        <v>39885.713766854686</v>
      </c>
      <c r="M723" s="712">
        <v>42147.371570091993</v>
      </c>
      <c r="N723" s="712">
        <v>43411.792717194759</v>
      </c>
      <c r="O723" s="712">
        <v>44714.146498710601</v>
      </c>
      <c r="P723" s="712">
        <v>45189.248463953641</v>
      </c>
    </row>
    <row r="724" spans="1:16" hidden="1">
      <c r="A724" s="709" t="s">
        <v>287</v>
      </c>
      <c r="B724" s="709" t="s">
        <v>670</v>
      </c>
      <c r="C724" s="709" t="s">
        <v>946</v>
      </c>
      <c r="D724" s="709" t="s">
        <v>947</v>
      </c>
      <c r="E724" s="709" t="s">
        <v>948</v>
      </c>
      <c r="F724" s="709" t="s">
        <v>949</v>
      </c>
      <c r="G724" s="709" t="s">
        <v>753</v>
      </c>
      <c r="H724" s="709">
        <v>5019</v>
      </c>
      <c r="I724" s="709" t="s">
        <v>921</v>
      </c>
      <c r="J724" s="709">
        <v>63300170</v>
      </c>
      <c r="K724" s="709" t="s">
        <v>1351</v>
      </c>
      <c r="L724" s="712">
        <v>412.14299161090418</v>
      </c>
      <c r="M724" s="712">
        <v>435.51292347359964</v>
      </c>
      <c r="N724" s="712">
        <v>448.57831117780762</v>
      </c>
      <c r="O724" s="712">
        <v>462.03566051314192</v>
      </c>
      <c r="P724" s="712">
        <v>466.94493570927011</v>
      </c>
    </row>
    <row r="725" spans="1:16" hidden="1">
      <c r="A725" s="709" t="s">
        <v>403</v>
      </c>
      <c r="B725" s="709" t="s">
        <v>671</v>
      </c>
      <c r="C725" s="709" t="s">
        <v>950</v>
      </c>
      <c r="D725" s="709" t="s">
        <v>951</v>
      </c>
      <c r="E725" s="709" t="s">
        <v>952</v>
      </c>
      <c r="F725" s="709" t="s">
        <v>953</v>
      </c>
      <c r="G725" s="709" t="s">
        <v>753</v>
      </c>
      <c r="H725" s="709">
        <v>5017</v>
      </c>
      <c r="I725" s="709" t="s">
        <v>954</v>
      </c>
      <c r="J725" s="709">
        <v>63300170</v>
      </c>
      <c r="K725" s="709" t="s">
        <v>1351</v>
      </c>
      <c r="L725" s="712">
        <v>9523.2535477044275</v>
      </c>
      <c r="M725" s="712">
        <v>10063.254933269993</v>
      </c>
      <c r="N725" s="712">
        <v>10365.152581268092</v>
      </c>
      <c r="O725" s="712">
        <v>10676.107158706136</v>
      </c>
      <c r="P725" s="712">
        <v>10789.544177847112</v>
      </c>
    </row>
    <row r="726" spans="1:16" hidden="1">
      <c r="A726" s="709" t="s">
        <v>403</v>
      </c>
      <c r="B726" s="709" t="s">
        <v>671</v>
      </c>
      <c r="C726" s="709" t="s">
        <v>955</v>
      </c>
      <c r="D726" s="709" t="s">
        <v>956</v>
      </c>
      <c r="E726" s="709" t="s">
        <v>957</v>
      </c>
      <c r="F726" s="709" t="s">
        <v>958</v>
      </c>
      <c r="G726" s="709" t="s">
        <v>753</v>
      </c>
      <c r="H726" s="709">
        <v>5017</v>
      </c>
      <c r="I726" s="709" t="s">
        <v>954</v>
      </c>
      <c r="J726" s="709">
        <v>63300170</v>
      </c>
      <c r="K726" s="709" t="s">
        <v>1351</v>
      </c>
      <c r="L726" s="712">
        <v>152.49241901153874</v>
      </c>
      <c r="M726" s="712">
        <v>161.13926613599918</v>
      </c>
      <c r="N726" s="712">
        <v>165.97344412007917</v>
      </c>
      <c r="O726" s="712">
        <v>170.95264744368154</v>
      </c>
      <c r="P726" s="712">
        <v>172.76907345477261</v>
      </c>
    </row>
    <row r="727" spans="1:16" hidden="1">
      <c r="A727" s="709" t="s">
        <v>403</v>
      </c>
      <c r="B727" s="709" t="s">
        <v>671</v>
      </c>
      <c r="C727" s="709" t="s">
        <v>959</v>
      </c>
      <c r="D727" s="709" t="s">
        <v>960</v>
      </c>
      <c r="E727" s="709" t="s">
        <v>961</v>
      </c>
      <c r="F727" s="709" t="s">
        <v>962</v>
      </c>
      <c r="G727" s="709" t="s">
        <v>753</v>
      </c>
      <c r="H727" s="709">
        <v>5017</v>
      </c>
      <c r="I727" s="709" t="s">
        <v>954</v>
      </c>
      <c r="J727" s="709">
        <v>63300170</v>
      </c>
      <c r="K727" s="709" t="s">
        <v>1351</v>
      </c>
      <c r="L727" s="712">
        <v>2858.6845936076811</v>
      </c>
      <c r="M727" s="712">
        <v>3020.7818887926014</v>
      </c>
      <c r="N727" s="712">
        <v>3111.4053454563805</v>
      </c>
      <c r="O727" s="712">
        <v>3204.7475058200716</v>
      </c>
      <c r="P727" s="712">
        <v>3238.7989628498231</v>
      </c>
    </row>
    <row r="728" spans="1:16" hidden="1">
      <c r="A728" s="709" t="s">
        <v>403</v>
      </c>
      <c r="B728" s="709" t="s">
        <v>671</v>
      </c>
      <c r="C728" s="709" t="s">
        <v>963</v>
      </c>
      <c r="D728" s="709" t="s">
        <v>964</v>
      </c>
      <c r="E728" s="709" t="s">
        <v>965</v>
      </c>
      <c r="F728" s="709" t="s">
        <v>966</v>
      </c>
      <c r="G728" s="709" t="s">
        <v>753</v>
      </c>
      <c r="H728" s="709">
        <v>5017</v>
      </c>
      <c r="I728" s="709" t="s">
        <v>954</v>
      </c>
      <c r="J728" s="709">
        <v>63300170</v>
      </c>
      <c r="K728" s="709" t="s">
        <v>1351</v>
      </c>
      <c r="L728" s="712">
        <v>9927.4756483003985</v>
      </c>
      <c r="M728" s="712">
        <v>10490.39782383597</v>
      </c>
      <c r="N728" s="712">
        <v>10805.109758551051</v>
      </c>
      <c r="O728" s="712">
        <v>11129.26305130758</v>
      </c>
      <c r="P728" s="712">
        <v>11247.51499529885</v>
      </c>
    </row>
    <row r="729" spans="1:16" hidden="1">
      <c r="A729" s="709" t="s">
        <v>403</v>
      </c>
      <c r="B729" s="709" t="s">
        <v>671</v>
      </c>
      <c r="C729" s="709" t="s">
        <v>967</v>
      </c>
      <c r="D729" s="709" t="s">
        <v>968</v>
      </c>
      <c r="E729" s="709" t="s">
        <v>969</v>
      </c>
      <c r="F729" s="709" t="s">
        <v>970</v>
      </c>
      <c r="G729" s="709" t="s">
        <v>753</v>
      </c>
      <c r="H729" s="709">
        <v>5017</v>
      </c>
      <c r="I729" s="709" t="s">
        <v>954</v>
      </c>
      <c r="J729" s="709">
        <v>63300170</v>
      </c>
      <c r="K729" s="709" t="s">
        <v>1351</v>
      </c>
      <c r="L729" s="712">
        <v>9086.2426779939906</v>
      </c>
      <c r="M729" s="712">
        <v>9601.464037072943</v>
      </c>
      <c r="N729" s="712">
        <v>9889.5079581851314</v>
      </c>
      <c r="O729" s="712">
        <v>10186.193196930684</v>
      </c>
      <c r="P729" s="712">
        <v>10294.42472509698</v>
      </c>
    </row>
    <row r="730" spans="1:16" hidden="1">
      <c r="A730" s="709" t="s">
        <v>403</v>
      </c>
      <c r="B730" s="709" t="s">
        <v>671</v>
      </c>
      <c r="C730" s="709" t="s">
        <v>971</v>
      </c>
      <c r="D730" s="709" t="s">
        <v>972</v>
      </c>
      <c r="E730" s="709" t="s">
        <v>973</v>
      </c>
      <c r="F730" s="709" t="s">
        <v>974</v>
      </c>
      <c r="G730" s="709" t="s">
        <v>753</v>
      </c>
      <c r="H730" s="709">
        <v>5017</v>
      </c>
      <c r="I730" s="709" t="s">
        <v>954</v>
      </c>
      <c r="J730" s="709">
        <v>63300170</v>
      </c>
      <c r="K730" s="709" t="s">
        <v>1351</v>
      </c>
      <c r="L730" s="712">
        <v>137882.35081464527</v>
      </c>
      <c r="M730" s="712">
        <v>145700.75658447732</v>
      </c>
      <c r="N730" s="712">
        <v>150071.77928201167</v>
      </c>
      <c r="O730" s="712">
        <v>154573.93266047203</v>
      </c>
      <c r="P730" s="712">
        <v>156216.32964068619</v>
      </c>
    </row>
    <row r="731" spans="1:16" hidden="1">
      <c r="A731" s="709" t="s">
        <v>403</v>
      </c>
      <c r="B731" s="709" t="s">
        <v>671</v>
      </c>
      <c r="C731" s="709" t="s">
        <v>975</v>
      </c>
      <c r="D731" s="709" t="s">
        <v>976</v>
      </c>
      <c r="E731" s="709" t="s">
        <v>977</v>
      </c>
      <c r="F731" s="709" t="s">
        <v>978</v>
      </c>
      <c r="G731" s="709" t="s">
        <v>753</v>
      </c>
      <c r="H731" s="709">
        <v>5017</v>
      </c>
      <c r="I731" s="709" t="s">
        <v>954</v>
      </c>
      <c r="J731" s="709">
        <v>63300170</v>
      </c>
      <c r="K731" s="709" t="s">
        <v>1351</v>
      </c>
      <c r="L731" s="712">
        <v>2593.8062456114853</v>
      </c>
      <c r="M731" s="712">
        <v>2740.8840231275999</v>
      </c>
      <c r="N731" s="712">
        <v>2823.1105438214281</v>
      </c>
      <c r="O731" s="712">
        <v>2907.8038601360709</v>
      </c>
      <c r="P731" s="712">
        <v>2938.7001969034918</v>
      </c>
    </row>
    <row r="732" spans="1:16" hidden="1">
      <c r="A732" s="709" t="s">
        <v>403</v>
      </c>
      <c r="B732" s="709" t="s">
        <v>671</v>
      </c>
      <c r="C732" s="709" t="s">
        <v>979</v>
      </c>
      <c r="D732" s="709" t="s">
        <v>980</v>
      </c>
      <c r="E732" s="709" t="s">
        <v>981</v>
      </c>
      <c r="F732" s="709" t="s">
        <v>982</v>
      </c>
      <c r="G732" s="709" t="s">
        <v>753</v>
      </c>
      <c r="H732" s="709">
        <v>5017</v>
      </c>
      <c r="I732" s="709" t="s">
        <v>954</v>
      </c>
      <c r="J732" s="709">
        <v>63300170</v>
      </c>
      <c r="K732" s="709" t="s">
        <v>1351</v>
      </c>
      <c r="L732" s="712">
        <v>38589.649984634518</v>
      </c>
      <c r="M732" s="712">
        <v>40777.816492625469</v>
      </c>
      <c r="N732" s="712">
        <v>42001.150987404224</v>
      </c>
      <c r="O732" s="712">
        <v>43261.185517026352</v>
      </c>
      <c r="P732" s="712">
        <v>43720.849311760212</v>
      </c>
    </row>
    <row r="733" spans="1:16" hidden="1">
      <c r="A733" s="709" t="s">
        <v>403</v>
      </c>
      <c r="B733" s="709" t="s">
        <v>671</v>
      </c>
      <c r="C733" s="709" t="s">
        <v>983</v>
      </c>
      <c r="D733" s="709" t="s">
        <v>984</v>
      </c>
      <c r="E733" s="709" t="s">
        <v>985</v>
      </c>
      <c r="F733" s="709" t="s">
        <v>986</v>
      </c>
      <c r="G733" s="709" t="s">
        <v>753</v>
      </c>
      <c r="H733" s="709">
        <v>5017</v>
      </c>
      <c r="I733" s="709" t="s">
        <v>954</v>
      </c>
      <c r="J733" s="709">
        <v>63300170</v>
      </c>
      <c r="K733" s="709" t="s">
        <v>1351</v>
      </c>
      <c r="L733" s="712">
        <v>458.50761104144738</v>
      </c>
      <c r="M733" s="712">
        <v>484.50657704759988</v>
      </c>
      <c r="N733" s="712">
        <v>499.04177435902784</v>
      </c>
      <c r="O733" s="712">
        <v>514.01302758979864</v>
      </c>
      <c r="P733" s="712">
        <v>519.47457876970282</v>
      </c>
    </row>
    <row r="734" spans="1:16" hidden="1">
      <c r="A734" s="709" t="s">
        <v>397</v>
      </c>
      <c r="B734" s="709" t="s">
        <v>673</v>
      </c>
      <c r="C734" s="709" t="s">
        <v>987</v>
      </c>
      <c r="D734" s="709" t="s">
        <v>988</v>
      </c>
      <c r="E734" s="709" t="s">
        <v>989</v>
      </c>
      <c r="F734" s="709" t="s">
        <v>990</v>
      </c>
      <c r="G734" s="709" t="s">
        <v>753</v>
      </c>
      <c r="H734" s="709">
        <v>5009</v>
      </c>
      <c r="I734" s="709" t="s">
        <v>991</v>
      </c>
      <c r="J734" s="709">
        <v>63300170</v>
      </c>
      <c r="K734" s="709" t="s">
        <v>1351</v>
      </c>
      <c r="L734" s="712">
        <v>104905.01649944481</v>
      </c>
      <c r="M734" s="712">
        <v>110853.49345416517</v>
      </c>
      <c r="N734" s="712">
        <v>114179.09825779013</v>
      </c>
      <c r="O734" s="712">
        <v>117604.47120552383</v>
      </c>
      <c r="P734" s="712">
        <v>118854.05595143249</v>
      </c>
    </row>
    <row r="735" spans="1:16" hidden="1">
      <c r="A735" s="709" t="s">
        <v>404</v>
      </c>
      <c r="B735" s="709" t="s">
        <v>673</v>
      </c>
      <c r="C735" s="709" t="s">
        <v>992</v>
      </c>
      <c r="D735" s="709" t="s">
        <v>993</v>
      </c>
      <c r="E735" s="709" t="s">
        <v>994</v>
      </c>
      <c r="F735" s="709" t="s">
        <v>995</v>
      </c>
      <c r="G735" s="709" t="s">
        <v>753</v>
      </c>
      <c r="H735" s="709">
        <v>5009</v>
      </c>
      <c r="I735" s="709" t="s">
        <v>991</v>
      </c>
      <c r="J735" s="709">
        <v>63300170</v>
      </c>
      <c r="K735" s="709" t="s">
        <v>1351</v>
      </c>
      <c r="L735" s="712">
        <v>2756.1974368245137</v>
      </c>
      <c r="M735" s="712">
        <v>2912.4833560559996</v>
      </c>
      <c r="N735" s="712">
        <v>2999.8578567376794</v>
      </c>
      <c r="O735" s="712">
        <v>3089.8535924398102</v>
      </c>
      <c r="P735" s="712">
        <v>3122.6842652588421</v>
      </c>
    </row>
    <row r="736" spans="1:16" hidden="1">
      <c r="A736" s="709" t="s">
        <v>542</v>
      </c>
      <c r="B736" s="709" t="s">
        <v>673</v>
      </c>
      <c r="C736" s="709" t="s">
        <v>996</v>
      </c>
      <c r="D736" s="709" t="s">
        <v>997</v>
      </c>
      <c r="E736" s="709" t="s">
        <v>998</v>
      </c>
      <c r="F736" s="709" t="s">
        <v>999</v>
      </c>
      <c r="G736" s="709" t="s">
        <v>753</v>
      </c>
      <c r="H736" s="709">
        <v>5009</v>
      </c>
      <c r="I736" s="709" t="s">
        <v>991</v>
      </c>
      <c r="J736" s="709">
        <v>63300170</v>
      </c>
      <c r="K736" s="709" t="s">
        <v>1351</v>
      </c>
      <c r="L736" s="712">
        <v>10380.818383429138</v>
      </c>
      <c r="M736" s="712">
        <v>10969.446658658402</v>
      </c>
      <c r="N736" s="712">
        <v>11298.530058418153</v>
      </c>
      <c r="O736" s="712">
        <v>11637.485960170698</v>
      </c>
      <c r="P736" s="712">
        <v>11761.137933496966</v>
      </c>
    </row>
    <row r="737" spans="1:16" hidden="1">
      <c r="A737" s="709" t="s">
        <v>542</v>
      </c>
      <c r="B737" s="709" t="s">
        <v>673</v>
      </c>
      <c r="C737" s="709" t="s">
        <v>1000</v>
      </c>
      <c r="D737" s="709" t="s">
        <v>1001</v>
      </c>
      <c r="E737" s="709" t="s">
        <v>1002</v>
      </c>
      <c r="F737" s="709" t="s">
        <v>1003</v>
      </c>
      <c r="G737" s="709" t="s">
        <v>753</v>
      </c>
      <c r="H737" s="709">
        <v>5009</v>
      </c>
      <c r="I737" s="709" t="s">
        <v>991</v>
      </c>
      <c r="J737" s="709">
        <v>63300170</v>
      </c>
      <c r="K737" s="709" t="s">
        <v>1351</v>
      </c>
      <c r="L737" s="712">
        <v>1442.4958547630363</v>
      </c>
      <c r="M737" s="712">
        <v>1524.2903545463996</v>
      </c>
      <c r="N737" s="712">
        <v>1570.0190651827916</v>
      </c>
      <c r="O737" s="712">
        <v>1617.1196371382753</v>
      </c>
      <c r="P737" s="712">
        <v>1634.3020453423471</v>
      </c>
    </row>
    <row r="738" spans="1:16" hidden="1">
      <c r="A738" s="709" t="s">
        <v>542</v>
      </c>
      <c r="B738" s="709" t="s">
        <v>673</v>
      </c>
      <c r="C738" s="709" t="s">
        <v>1004</v>
      </c>
      <c r="D738" s="709" t="s">
        <v>1005</v>
      </c>
      <c r="E738" s="709" t="s">
        <v>1006</v>
      </c>
      <c r="F738" s="709" t="s">
        <v>1007</v>
      </c>
      <c r="G738" s="709" t="s">
        <v>753</v>
      </c>
      <c r="H738" s="709">
        <v>5009</v>
      </c>
      <c r="I738" s="709" t="s">
        <v>991</v>
      </c>
      <c r="J738" s="709">
        <v>63300170</v>
      </c>
      <c r="K738" s="709" t="s">
        <v>1351</v>
      </c>
      <c r="L738" s="712">
        <v>4945.7000734732692</v>
      </c>
      <c r="M738" s="712">
        <v>5226.1383584448004</v>
      </c>
      <c r="N738" s="712">
        <v>5382.9225091981452</v>
      </c>
      <c r="O738" s="712">
        <v>5544.4101844740899</v>
      </c>
      <c r="P738" s="712">
        <v>5603.3212983166213</v>
      </c>
    </row>
    <row r="739" spans="1:16" hidden="1">
      <c r="A739" s="709" t="s">
        <v>542</v>
      </c>
      <c r="B739" s="709" t="s">
        <v>673</v>
      </c>
      <c r="C739" s="709" t="s">
        <v>1008</v>
      </c>
      <c r="D739" s="709" t="s">
        <v>1009</v>
      </c>
      <c r="E739" s="709" t="s">
        <v>1010</v>
      </c>
      <c r="F739" s="709" t="s">
        <v>1011</v>
      </c>
      <c r="G739" s="709" t="s">
        <v>753</v>
      </c>
      <c r="H739" s="709">
        <v>5009</v>
      </c>
      <c r="I739" s="709" t="s">
        <v>991</v>
      </c>
      <c r="J739" s="709">
        <v>63300170</v>
      </c>
      <c r="K739" s="709" t="s">
        <v>1351</v>
      </c>
      <c r="L739" s="712">
        <v>9144.3933650608233</v>
      </c>
      <c r="M739" s="712">
        <v>9662.9120690472046</v>
      </c>
      <c r="N739" s="712">
        <v>9952.7994311186212</v>
      </c>
      <c r="O739" s="712">
        <v>10251.383414052181</v>
      </c>
      <c r="P739" s="712">
        <v>10360.307608917818</v>
      </c>
    </row>
    <row r="740" spans="1:16" hidden="1">
      <c r="A740" s="709" t="s">
        <v>542</v>
      </c>
      <c r="B740" s="709" t="s">
        <v>673</v>
      </c>
      <c r="C740" s="709" t="s">
        <v>1012</v>
      </c>
      <c r="D740" s="709" t="s">
        <v>1013</v>
      </c>
      <c r="E740" s="709" t="s">
        <v>1014</v>
      </c>
      <c r="F740" s="709" t="s">
        <v>1015</v>
      </c>
      <c r="G740" s="709" t="s">
        <v>753</v>
      </c>
      <c r="H740" s="709">
        <v>5009</v>
      </c>
      <c r="I740" s="709" t="s">
        <v>991</v>
      </c>
      <c r="J740" s="709">
        <v>63300170</v>
      </c>
      <c r="K740" s="709" t="s">
        <v>1351</v>
      </c>
      <c r="L740" s="712">
        <v>36075.275796418289</v>
      </c>
      <c r="M740" s="712">
        <v>38120.86859903999</v>
      </c>
      <c r="N740" s="712">
        <v>39264.494657011193</v>
      </c>
      <c r="O740" s="712">
        <v>40442.429496721532</v>
      </c>
      <c r="P740" s="712">
        <v>40872.143116183099</v>
      </c>
    </row>
    <row r="741" spans="1:16" hidden="1">
      <c r="A741" s="709" t="s">
        <v>542</v>
      </c>
      <c r="B741" s="709" t="s">
        <v>673</v>
      </c>
      <c r="C741" s="709" t="s">
        <v>1016</v>
      </c>
      <c r="D741" s="709" t="s">
        <v>1017</v>
      </c>
      <c r="E741" s="709" t="s">
        <v>1018</v>
      </c>
      <c r="F741" s="709" t="s">
        <v>1019</v>
      </c>
      <c r="G741" s="709" t="s">
        <v>753</v>
      </c>
      <c r="H741" s="709">
        <v>5009</v>
      </c>
      <c r="I741" s="709" t="s">
        <v>991</v>
      </c>
      <c r="J741" s="709">
        <v>63300170</v>
      </c>
      <c r="K741" s="709" t="s">
        <v>1351</v>
      </c>
      <c r="L741" s="712">
        <v>13791.167038815851</v>
      </c>
      <c r="M741" s="712">
        <v>14573.17386791281</v>
      </c>
      <c r="N741" s="712">
        <v>15010.369083950194</v>
      </c>
      <c r="O741" s="712">
        <v>15460.680156468701</v>
      </c>
      <c r="P741" s="712">
        <v>15624.954778741638</v>
      </c>
    </row>
    <row r="742" spans="1:16" hidden="1">
      <c r="A742" s="709" t="s">
        <v>400</v>
      </c>
      <c r="B742" s="709" t="s">
        <v>673</v>
      </c>
      <c r="C742" s="709" t="s">
        <v>1020</v>
      </c>
      <c r="D742" s="709" t="s">
        <v>1021</v>
      </c>
      <c r="E742" s="709" t="s">
        <v>1022</v>
      </c>
      <c r="F742" s="709" t="s">
        <v>1023</v>
      </c>
      <c r="G742" s="709" t="s">
        <v>753</v>
      </c>
      <c r="H742" s="709">
        <v>5009</v>
      </c>
      <c r="I742" s="709" t="s">
        <v>991</v>
      </c>
      <c r="J742" s="709">
        <v>63300170</v>
      </c>
      <c r="K742" s="709" t="s">
        <v>1351</v>
      </c>
      <c r="L742" s="712">
        <v>358.76312763841253</v>
      </c>
      <c r="M742" s="712">
        <v>379.10623674961306</v>
      </c>
      <c r="N742" s="712">
        <v>390.47942385210143</v>
      </c>
      <c r="O742" s="712">
        <v>402.19380656766452</v>
      </c>
      <c r="P742" s="712">
        <v>406.4672431167528</v>
      </c>
    </row>
    <row r="743" spans="1:16" hidden="1">
      <c r="A743" s="709" t="s">
        <v>400</v>
      </c>
      <c r="B743" s="709" t="s">
        <v>673</v>
      </c>
      <c r="C743" s="709" t="s">
        <v>1024</v>
      </c>
      <c r="D743" s="709" t="s">
        <v>1025</v>
      </c>
      <c r="E743" s="709" t="s">
        <v>1026</v>
      </c>
      <c r="F743" s="709" t="s">
        <v>1027</v>
      </c>
      <c r="G743" s="709" t="s">
        <v>753</v>
      </c>
      <c r="H743" s="709">
        <v>5009</v>
      </c>
      <c r="I743" s="709" t="s">
        <v>991</v>
      </c>
      <c r="J743" s="709">
        <v>63300170</v>
      </c>
      <c r="K743" s="709" t="s">
        <v>1351</v>
      </c>
      <c r="L743" s="712">
        <v>3259.9814397058708</v>
      </c>
      <c r="M743" s="712">
        <v>3444.8336528220002</v>
      </c>
      <c r="N743" s="712">
        <v>3548.1786624066608</v>
      </c>
      <c r="O743" s="712">
        <v>3654.6240222788606</v>
      </c>
      <c r="P743" s="712">
        <v>3693.4555597489807</v>
      </c>
    </row>
    <row r="744" spans="1:16" hidden="1">
      <c r="A744" s="709" t="s">
        <v>400</v>
      </c>
      <c r="B744" s="709" t="s">
        <v>673</v>
      </c>
      <c r="C744" s="709" t="s">
        <v>1028</v>
      </c>
      <c r="D744" s="709" t="s">
        <v>1029</v>
      </c>
      <c r="E744" s="709" t="s">
        <v>1030</v>
      </c>
      <c r="F744" s="709" t="s">
        <v>1031</v>
      </c>
      <c r="G744" s="709" t="s">
        <v>753</v>
      </c>
      <c r="H744" s="709">
        <v>5009</v>
      </c>
      <c r="I744" s="709" t="s">
        <v>991</v>
      </c>
      <c r="J744" s="709">
        <v>63300170</v>
      </c>
      <c r="K744" s="709" t="s">
        <v>1351</v>
      </c>
      <c r="L744" s="712">
        <v>9576.0176841967732</v>
      </c>
      <c r="M744" s="712">
        <v>10119.010978637945</v>
      </c>
      <c r="N744" s="712">
        <v>10422.581307997085</v>
      </c>
      <c r="O744" s="712">
        <v>10735.258747236998</v>
      </c>
      <c r="P744" s="712">
        <v>10849.324270736412</v>
      </c>
    </row>
    <row r="745" spans="1:16" hidden="1">
      <c r="A745" s="709" t="s">
        <v>400</v>
      </c>
      <c r="B745" s="709" t="s">
        <v>673</v>
      </c>
      <c r="C745" s="709" t="s">
        <v>1032</v>
      </c>
      <c r="D745" s="709" t="s">
        <v>1033</v>
      </c>
      <c r="E745" s="709" t="s">
        <v>1034</v>
      </c>
      <c r="F745" s="709" t="s">
        <v>1035</v>
      </c>
      <c r="G745" s="709" t="s">
        <v>753</v>
      </c>
      <c r="H745" s="709">
        <v>5009</v>
      </c>
      <c r="I745" s="709" t="s">
        <v>991</v>
      </c>
      <c r="J745" s="709">
        <v>63300170</v>
      </c>
      <c r="K745" s="709" t="s">
        <v>1351</v>
      </c>
      <c r="L745" s="712">
        <v>64019.919529343068</v>
      </c>
      <c r="M745" s="712">
        <v>67650.070199643611</v>
      </c>
      <c r="N745" s="712">
        <v>69679.57230563293</v>
      </c>
      <c r="O745" s="712">
        <v>71769.959474801915</v>
      </c>
      <c r="P745" s="712">
        <v>72532.538020114749</v>
      </c>
    </row>
    <row r="746" spans="1:16" hidden="1">
      <c r="A746" s="709" t="s">
        <v>396</v>
      </c>
      <c r="B746" s="709" t="s">
        <v>673</v>
      </c>
      <c r="C746" s="709" t="s">
        <v>1036</v>
      </c>
      <c r="D746" s="709" t="s">
        <v>1037</v>
      </c>
      <c r="E746" s="709" t="s">
        <v>1038</v>
      </c>
      <c r="F746" s="709" t="s">
        <v>1039</v>
      </c>
      <c r="G746" s="709" t="s">
        <v>753</v>
      </c>
      <c r="H746" s="709">
        <v>5009</v>
      </c>
      <c r="I746" s="709" t="s">
        <v>991</v>
      </c>
      <c r="J746" s="709">
        <v>63300170</v>
      </c>
      <c r="K746" s="709" t="s">
        <v>1351</v>
      </c>
      <c r="L746" s="712">
        <v>1030.3540171209136</v>
      </c>
      <c r="M746" s="712">
        <v>1088.7786504755991</v>
      </c>
      <c r="N746" s="712">
        <v>1121.4420099898671</v>
      </c>
      <c r="O746" s="712">
        <v>1155.0852702895629</v>
      </c>
      <c r="P746" s="712">
        <v>1167.3584170431006</v>
      </c>
    </row>
    <row r="747" spans="1:16" hidden="1">
      <c r="A747" s="709" t="s">
        <v>541</v>
      </c>
      <c r="B747" s="709" t="s">
        <v>673</v>
      </c>
      <c r="C747" s="709" t="s">
        <v>1040</v>
      </c>
      <c r="D747" s="709" t="s">
        <v>1041</v>
      </c>
      <c r="E747" s="709" t="s">
        <v>1042</v>
      </c>
      <c r="F747" s="709" t="s">
        <v>1043</v>
      </c>
      <c r="G747" s="709" t="s">
        <v>753</v>
      </c>
      <c r="H747" s="709">
        <v>5009</v>
      </c>
      <c r="I747" s="709" t="s">
        <v>991</v>
      </c>
      <c r="J747" s="709">
        <v>63300170</v>
      </c>
      <c r="K747" s="709" t="s">
        <v>1351</v>
      </c>
      <c r="L747" s="712">
        <v>9723.966932987667</v>
      </c>
      <c r="M747" s="712">
        <v>10275.349461102001</v>
      </c>
      <c r="N747" s="712">
        <v>10583.609944935062</v>
      </c>
      <c r="O747" s="712">
        <v>10901.118243283114</v>
      </c>
      <c r="P747" s="712">
        <v>11016.946076447277</v>
      </c>
    </row>
    <row r="748" spans="1:16" hidden="1">
      <c r="A748" s="709" t="s">
        <v>541</v>
      </c>
      <c r="B748" s="709" t="s">
        <v>673</v>
      </c>
      <c r="C748" s="709" t="s">
        <v>1044</v>
      </c>
      <c r="D748" s="709" t="s">
        <v>1045</v>
      </c>
      <c r="E748" s="709" t="s">
        <v>1046</v>
      </c>
      <c r="F748" s="709" t="s">
        <v>1047</v>
      </c>
      <c r="G748" s="709" t="s">
        <v>753</v>
      </c>
      <c r="H748" s="709">
        <v>5009</v>
      </c>
      <c r="I748" s="709" t="s">
        <v>991</v>
      </c>
      <c r="J748" s="709">
        <v>63300170</v>
      </c>
      <c r="K748" s="709" t="s">
        <v>1351</v>
      </c>
      <c r="L748" s="712">
        <v>1957.6722863391044</v>
      </c>
      <c r="M748" s="712">
        <v>2068.6790700828019</v>
      </c>
      <c r="N748" s="712">
        <v>2130.739442185286</v>
      </c>
      <c r="O748" s="712">
        <v>2194.6616254508444</v>
      </c>
      <c r="P748" s="712">
        <v>2217.9806001588881</v>
      </c>
    </row>
    <row r="749" spans="1:16" hidden="1">
      <c r="A749" s="709" t="s">
        <v>541</v>
      </c>
      <c r="B749" s="709" t="s">
        <v>673</v>
      </c>
      <c r="C749" s="709" t="s">
        <v>1048</v>
      </c>
      <c r="D749" s="709" t="s">
        <v>1049</v>
      </c>
      <c r="E749" s="709" t="s">
        <v>1050</v>
      </c>
      <c r="F749" s="709" t="s">
        <v>1051</v>
      </c>
      <c r="G749" s="709" t="s">
        <v>753</v>
      </c>
      <c r="H749" s="709">
        <v>5009</v>
      </c>
      <c r="I749" s="709" t="s">
        <v>991</v>
      </c>
      <c r="J749" s="709">
        <v>63300170</v>
      </c>
      <c r="K749" s="709" t="s">
        <v>1351</v>
      </c>
      <c r="L749" s="712">
        <v>1030.3522860774592</v>
      </c>
      <c r="M749" s="712">
        <v>1088.7768212759988</v>
      </c>
      <c r="N749" s="712">
        <v>1121.440125914279</v>
      </c>
      <c r="O749" s="712">
        <v>1155.0833296917074</v>
      </c>
      <c r="P749" s="712">
        <v>1167.3564558257785</v>
      </c>
    </row>
    <row r="750" spans="1:16" hidden="1">
      <c r="A750" s="709" t="s">
        <v>541</v>
      </c>
      <c r="B750" s="709" t="s">
        <v>673</v>
      </c>
      <c r="C750" s="709" t="s">
        <v>1052</v>
      </c>
      <c r="D750" s="709" t="s">
        <v>1053</v>
      </c>
      <c r="E750" s="709" t="s">
        <v>1054</v>
      </c>
      <c r="F750" s="709" t="s">
        <v>1055</v>
      </c>
      <c r="G750" s="709" t="s">
        <v>753</v>
      </c>
      <c r="H750" s="709">
        <v>5009</v>
      </c>
      <c r="I750" s="709" t="s">
        <v>991</v>
      </c>
      <c r="J750" s="709">
        <v>63300170</v>
      </c>
      <c r="K750" s="709" t="s">
        <v>1351</v>
      </c>
      <c r="L750" s="712">
        <v>10857.356698011286</v>
      </c>
      <c r="M750" s="712">
        <v>11473.00634244598</v>
      </c>
      <c r="N750" s="712">
        <v>11817.196532719361</v>
      </c>
      <c r="O750" s="712">
        <v>12171.712428700943</v>
      </c>
      <c r="P750" s="712">
        <v>12301.040727417676</v>
      </c>
    </row>
    <row r="751" spans="1:16" hidden="1">
      <c r="A751" s="709" t="s">
        <v>541</v>
      </c>
      <c r="B751" s="709" t="s">
        <v>673</v>
      </c>
      <c r="C751" s="709" t="s">
        <v>1056</v>
      </c>
      <c r="D751" s="709" t="s">
        <v>1057</v>
      </c>
      <c r="E751" s="709" t="s">
        <v>1058</v>
      </c>
      <c r="F751" s="709" t="s">
        <v>1059</v>
      </c>
      <c r="G751" s="709" t="s">
        <v>753</v>
      </c>
      <c r="H751" s="709">
        <v>5009</v>
      </c>
      <c r="I751" s="709" t="s">
        <v>991</v>
      </c>
      <c r="J751" s="709">
        <v>63300170</v>
      </c>
      <c r="K751" s="709" t="s">
        <v>1351</v>
      </c>
      <c r="L751" s="712">
        <v>27085.435558743782</v>
      </c>
      <c r="M751" s="712">
        <v>28621.273353789584</v>
      </c>
      <c r="N751" s="712">
        <v>29479.911554403272</v>
      </c>
      <c r="O751" s="712">
        <v>30364.308901035369</v>
      </c>
      <c r="P751" s="712">
        <v>30686.939297939953</v>
      </c>
    </row>
    <row r="752" spans="1:16" hidden="1">
      <c r="A752" s="709" t="s">
        <v>541</v>
      </c>
      <c r="B752" s="709" t="s">
        <v>673</v>
      </c>
      <c r="C752" s="709" t="s">
        <v>1060</v>
      </c>
      <c r="D752" s="709" t="s">
        <v>1061</v>
      </c>
      <c r="E752" s="709" t="s">
        <v>1062</v>
      </c>
      <c r="F752" s="709" t="s">
        <v>1063</v>
      </c>
      <c r="G752" s="709" t="s">
        <v>753</v>
      </c>
      <c r="H752" s="709">
        <v>5009</v>
      </c>
      <c r="I752" s="709" t="s">
        <v>991</v>
      </c>
      <c r="J752" s="709">
        <v>63300170</v>
      </c>
      <c r="K752" s="709" t="s">
        <v>1351</v>
      </c>
      <c r="L752" s="712">
        <v>206.07083639471941</v>
      </c>
      <c r="M752" s="712">
        <v>217.75576493519989</v>
      </c>
      <c r="N752" s="712">
        <v>224.28843788325588</v>
      </c>
      <c r="O752" s="712">
        <v>231.01709101975356</v>
      </c>
      <c r="P752" s="712">
        <v>233.47172076319239</v>
      </c>
    </row>
    <row r="753" spans="1:16" hidden="1">
      <c r="A753" s="709" t="s">
        <v>397</v>
      </c>
      <c r="B753" s="709" t="s">
        <v>1064</v>
      </c>
      <c r="C753" s="709" t="s">
        <v>1065</v>
      </c>
      <c r="D753" s="709" t="s">
        <v>1066</v>
      </c>
      <c r="E753" s="709" t="s">
        <v>1067</v>
      </c>
      <c r="F753" s="709" t="s">
        <v>1068</v>
      </c>
      <c r="G753" s="709" t="s">
        <v>753</v>
      </c>
      <c r="H753" s="709">
        <v>5008</v>
      </c>
      <c r="I753" s="709" t="s">
        <v>1069</v>
      </c>
      <c r="J753" s="709">
        <v>63300170</v>
      </c>
      <c r="K753" s="709" t="s">
        <v>1351</v>
      </c>
      <c r="L753" s="712">
        <v>26159.209165716555</v>
      </c>
      <c r="M753" s="712">
        <v>27642.526723526556</v>
      </c>
      <c r="N753" s="712">
        <v>28471.802525232353</v>
      </c>
      <c r="O753" s="712">
        <v>29325.956600989321</v>
      </c>
      <c r="P753" s="712">
        <v>29637.554175912595</v>
      </c>
    </row>
    <row r="754" spans="1:16" hidden="1">
      <c r="A754" s="709" t="s">
        <v>133</v>
      </c>
      <c r="B754" s="709" t="s">
        <v>662</v>
      </c>
      <c r="C754" s="709" t="s">
        <v>1072</v>
      </c>
      <c r="D754" s="709" t="s">
        <v>1073</v>
      </c>
      <c r="E754" s="709" t="s">
        <v>1074</v>
      </c>
      <c r="F754" s="709" t="s">
        <v>1075</v>
      </c>
      <c r="G754" s="709" t="s">
        <v>1070</v>
      </c>
      <c r="H754" s="709">
        <v>5327</v>
      </c>
      <c r="I754" s="709" t="s">
        <v>754</v>
      </c>
      <c r="J754" s="709">
        <v>63300155</v>
      </c>
      <c r="K754" s="709" t="s">
        <v>1352</v>
      </c>
      <c r="L754" s="712">
        <v>34068.214508201534</v>
      </c>
      <c r="M754" s="712">
        <v>36000</v>
      </c>
      <c r="N754" s="712">
        <v>36000</v>
      </c>
      <c r="O754" s="712">
        <v>36000</v>
      </c>
      <c r="P754" s="712">
        <v>36382.511399367599</v>
      </c>
    </row>
    <row r="755" spans="1:16" hidden="1">
      <c r="A755" s="709" t="s">
        <v>593</v>
      </c>
      <c r="B755" s="709" t="s">
        <v>665</v>
      </c>
      <c r="C755" s="709" t="s">
        <v>802</v>
      </c>
      <c r="D755" s="709" t="s">
        <v>803</v>
      </c>
      <c r="E755" s="709" t="s">
        <v>804</v>
      </c>
      <c r="F755" s="709" t="s">
        <v>805</v>
      </c>
      <c r="G755" s="709" t="s">
        <v>1070</v>
      </c>
      <c r="H755" s="709">
        <v>5150</v>
      </c>
      <c r="I755" s="709" t="s">
        <v>806</v>
      </c>
      <c r="J755" s="709">
        <v>63300155</v>
      </c>
      <c r="K755" s="709" t="s">
        <v>1352</v>
      </c>
      <c r="L755" s="712">
        <v>18926.785837889744</v>
      </c>
      <c r="M755" s="712">
        <v>20000.000000000004</v>
      </c>
      <c r="N755" s="712">
        <v>20000.000000000004</v>
      </c>
      <c r="O755" s="712">
        <v>20000.000000000004</v>
      </c>
      <c r="P755" s="712">
        <v>20212.506332982004</v>
      </c>
    </row>
    <row r="756" spans="1:16" hidden="1">
      <c r="A756" s="709" t="s">
        <v>593</v>
      </c>
      <c r="B756" s="709" t="s">
        <v>665</v>
      </c>
      <c r="C756" s="709" t="s">
        <v>807</v>
      </c>
      <c r="D756" s="709" t="s">
        <v>808</v>
      </c>
      <c r="E756" s="709" t="s">
        <v>809</v>
      </c>
      <c r="F756" s="709" t="s">
        <v>810</v>
      </c>
      <c r="G756" s="709" t="s">
        <v>1070</v>
      </c>
      <c r="H756" s="709">
        <v>5150</v>
      </c>
      <c r="I756" s="709" t="s">
        <v>806</v>
      </c>
      <c r="J756" s="709">
        <v>63300155</v>
      </c>
      <c r="K756" s="709" t="s">
        <v>1352</v>
      </c>
      <c r="L756" s="712">
        <v>1595.5280461341054</v>
      </c>
      <c r="M756" s="712">
        <v>1686.0000000000005</v>
      </c>
      <c r="N756" s="712">
        <v>1740.0000000000005</v>
      </c>
      <c r="O756" s="712">
        <v>1795.0000000000005</v>
      </c>
      <c r="P756" s="712">
        <v>1814.0724433851349</v>
      </c>
    </row>
    <row r="757" spans="1:16" hidden="1">
      <c r="A757" s="709" t="s">
        <v>398</v>
      </c>
      <c r="B757" s="709" t="s">
        <v>667</v>
      </c>
      <c r="C757" s="709" t="s">
        <v>845</v>
      </c>
      <c r="D757" s="709" t="s">
        <v>846</v>
      </c>
      <c r="E757" s="709" t="s">
        <v>847</v>
      </c>
      <c r="F757" s="709" t="s">
        <v>848</v>
      </c>
      <c r="G757" s="709" t="s">
        <v>1070</v>
      </c>
      <c r="H757" s="709">
        <v>5025</v>
      </c>
      <c r="I757" s="709" t="s">
        <v>840</v>
      </c>
      <c r="J757" s="709">
        <v>63300155</v>
      </c>
      <c r="K757" s="709" t="s">
        <v>1352</v>
      </c>
      <c r="L757" s="712">
        <v>29022.333403820132</v>
      </c>
      <c r="M757" s="712">
        <v>30668.000000000007</v>
      </c>
      <c r="N757" s="712">
        <v>30668.000000000007</v>
      </c>
      <c r="O757" s="712">
        <v>30668.000000000007</v>
      </c>
      <c r="P757" s="712">
        <v>30993.857210994604</v>
      </c>
    </row>
    <row r="758" spans="1:16" hidden="1">
      <c r="A758" s="709" t="s">
        <v>399</v>
      </c>
      <c r="B758" s="709" t="s">
        <v>668</v>
      </c>
      <c r="C758" s="709" t="s">
        <v>1097</v>
      </c>
      <c r="D758" s="709" t="s">
        <v>1098</v>
      </c>
      <c r="E758" s="709" t="s">
        <v>1099</v>
      </c>
      <c r="F758" s="709" t="s">
        <v>1100</v>
      </c>
      <c r="G758" s="709" t="s">
        <v>1070</v>
      </c>
      <c r="H758" s="709">
        <v>5021</v>
      </c>
      <c r="I758" s="709" t="s">
        <v>883</v>
      </c>
      <c r="J758" s="709">
        <v>63300155</v>
      </c>
      <c r="K758" s="709" t="s">
        <v>1352</v>
      </c>
      <c r="L758" s="712">
        <v>70878.674236097388</v>
      </c>
      <c r="M758" s="712">
        <v>74897.739999999991</v>
      </c>
      <c r="N758" s="712">
        <v>75649.209999999992</v>
      </c>
      <c r="O758" s="712">
        <v>76415.719999999987</v>
      </c>
      <c r="P758" s="712">
        <v>77227.661221968941</v>
      </c>
    </row>
    <row r="759" spans="1:16" hidden="1">
      <c r="A759" s="709" t="s">
        <v>407</v>
      </c>
      <c r="B759" s="709" t="s">
        <v>669</v>
      </c>
      <c r="C759" s="709" t="s">
        <v>904</v>
      </c>
      <c r="D759" s="709" t="s">
        <v>905</v>
      </c>
      <c r="E759" s="709" t="s">
        <v>906</v>
      </c>
      <c r="F759" s="709" t="s">
        <v>907</v>
      </c>
      <c r="G759" s="709" t="s">
        <v>1070</v>
      </c>
      <c r="H759" s="709">
        <v>5020</v>
      </c>
      <c r="I759" s="709" t="s">
        <v>908</v>
      </c>
      <c r="J759" s="709">
        <v>63300155</v>
      </c>
      <c r="K759" s="709" t="s">
        <v>1352</v>
      </c>
      <c r="L759" s="712">
        <v>9699.977741918492</v>
      </c>
      <c r="M759" s="712">
        <v>10250</v>
      </c>
      <c r="N759" s="712">
        <v>10250</v>
      </c>
      <c r="O759" s="712">
        <v>10250</v>
      </c>
      <c r="P759" s="712">
        <v>10358.909495653274</v>
      </c>
    </row>
    <row r="760" spans="1:16" hidden="1">
      <c r="A760" s="709" t="s">
        <v>407</v>
      </c>
      <c r="B760" s="709" t="s">
        <v>669</v>
      </c>
      <c r="C760" s="709" t="s">
        <v>1353</v>
      </c>
      <c r="D760" s="709" t="s">
        <v>1354</v>
      </c>
      <c r="E760" s="709" t="s">
        <v>1355</v>
      </c>
      <c r="F760" s="709" t="s">
        <v>1356</v>
      </c>
      <c r="G760" s="709" t="s">
        <v>1070</v>
      </c>
      <c r="H760" s="709">
        <v>5020</v>
      </c>
      <c r="I760" s="709" t="s">
        <v>908</v>
      </c>
      <c r="J760" s="709">
        <v>63300155</v>
      </c>
      <c r="K760" s="709" t="s">
        <v>1352</v>
      </c>
      <c r="L760" s="712">
        <v>1737488.6769694295</v>
      </c>
      <c r="M760" s="712">
        <v>1836010.2891756</v>
      </c>
      <c r="N760" s="712">
        <v>1892462.8478983999</v>
      </c>
      <c r="O760" s="712">
        <v>1973549.2578410001</v>
      </c>
      <c r="P760" s="712">
        <v>1994518.8436281569</v>
      </c>
    </row>
    <row r="761" spans="1:16" hidden="1">
      <c r="A761" s="709" t="s">
        <v>287</v>
      </c>
      <c r="B761" s="709" t="s">
        <v>670</v>
      </c>
      <c r="C761" s="709" t="s">
        <v>1174</v>
      </c>
      <c r="D761" s="709" t="s">
        <v>1175</v>
      </c>
      <c r="E761" s="709" t="s">
        <v>1176</v>
      </c>
      <c r="F761" s="709" t="s">
        <v>1177</v>
      </c>
      <c r="G761" s="709" t="s">
        <v>1070</v>
      </c>
      <c r="H761" s="709">
        <v>5019</v>
      </c>
      <c r="I761" s="709" t="s">
        <v>921</v>
      </c>
      <c r="J761" s="709">
        <v>63300155</v>
      </c>
      <c r="K761" s="709" t="s">
        <v>1352</v>
      </c>
      <c r="L761" s="712">
        <v>29081.006439917579</v>
      </c>
      <c r="M761" s="712">
        <v>30729.999999999993</v>
      </c>
      <c r="N761" s="712">
        <v>30729.999999999993</v>
      </c>
      <c r="O761" s="712">
        <v>30729.999999999993</v>
      </c>
      <c r="P761" s="712">
        <v>31056.515980626835</v>
      </c>
    </row>
    <row r="762" spans="1:16" hidden="1">
      <c r="A762" s="709" t="s">
        <v>403</v>
      </c>
      <c r="B762" s="709" t="s">
        <v>671</v>
      </c>
      <c r="C762" s="709" t="s">
        <v>955</v>
      </c>
      <c r="D762" s="709" t="s">
        <v>956</v>
      </c>
      <c r="E762" s="709" t="s">
        <v>957</v>
      </c>
      <c r="F762" s="709" t="s">
        <v>958</v>
      </c>
      <c r="G762" s="709" t="s">
        <v>1070</v>
      </c>
      <c r="H762" s="709">
        <v>5017</v>
      </c>
      <c r="I762" s="709" t="s">
        <v>954</v>
      </c>
      <c r="J762" s="709">
        <v>63300155</v>
      </c>
      <c r="K762" s="709" t="s">
        <v>1352</v>
      </c>
      <c r="L762" s="712">
        <v>64512.895867739084</v>
      </c>
      <c r="M762" s="712">
        <v>68171.000000000015</v>
      </c>
      <c r="N762" s="712">
        <v>68171.000000000015</v>
      </c>
      <c r="O762" s="712">
        <v>103821.00000000003</v>
      </c>
      <c r="P762" s="712">
        <v>104924.13099982623</v>
      </c>
    </row>
    <row r="763" spans="1:16" hidden="1">
      <c r="A763" s="709" t="s">
        <v>404</v>
      </c>
      <c r="B763" s="709" t="s">
        <v>673</v>
      </c>
      <c r="C763" s="709" t="s">
        <v>1298</v>
      </c>
      <c r="D763" s="709" t="s">
        <v>1299</v>
      </c>
      <c r="E763" s="709" t="s">
        <v>1300</v>
      </c>
      <c r="F763" s="709" t="s">
        <v>1301</v>
      </c>
      <c r="G763" s="709" t="s">
        <v>1070</v>
      </c>
      <c r="H763" s="709">
        <v>5009</v>
      </c>
      <c r="I763" s="709" t="s">
        <v>991</v>
      </c>
      <c r="J763" s="709">
        <v>63300155</v>
      </c>
      <c r="K763" s="709" t="s">
        <v>1352</v>
      </c>
      <c r="L763" s="712">
        <v>3479.689576296028</v>
      </c>
      <c r="M763" s="712">
        <v>3676.9999999999995</v>
      </c>
      <c r="N763" s="712">
        <v>3676.9999999999995</v>
      </c>
      <c r="O763" s="712">
        <v>3676.9999999999995</v>
      </c>
      <c r="P763" s="712">
        <v>3716.0692893187402</v>
      </c>
    </row>
    <row r="764" spans="1:16" hidden="1">
      <c r="A764" s="709" t="s">
        <v>542</v>
      </c>
      <c r="B764" s="709" t="s">
        <v>673</v>
      </c>
      <c r="C764" s="709" t="s">
        <v>1000</v>
      </c>
      <c r="D764" s="709" t="s">
        <v>1001</v>
      </c>
      <c r="E764" s="709" t="s">
        <v>1002</v>
      </c>
      <c r="F764" s="709" t="s">
        <v>1003</v>
      </c>
      <c r="G764" s="709" t="s">
        <v>1070</v>
      </c>
      <c r="H764" s="709">
        <v>5009</v>
      </c>
      <c r="I764" s="709" t="s">
        <v>991</v>
      </c>
      <c r="J764" s="709">
        <v>63300155</v>
      </c>
      <c r="K764" s="709" t="s">
        <v>1352</v>
      </c>
      <c r="L764" s="712">
        <v>63898.721667299564</v>
      </c>
      <c r="M764" s="712">
        <v>67522.000000000015</v>
      </c>
      <c r="N764" s="712">
        <v>87622.000000000015</v>
      </c>
      <c r="O764" s="712">
        <v>67722.000000000015</v>
      </c>
      <c r="P764" s="712">
        <v>68441.567694110359</v>
      </c>
    </row>
    <row r="765" spans="1:16" hidden="1">
      <c r="A765" s="709" t="s">
        <v>400</v>
      </c>
      <c r="B765" s="709" t="s">
        <v>673</v>
      </c>
      <c r="C765" s="709" t="s">
        <v>1020</v>
      </c>
      <c r="D765" s="709" t="s">
        <v>1021</v>
      </c>
      <c r="E765" s="709" t="s">
        <v>1022</v>
      </c>
      <c r="F765" s="709" t="s">
        <v>1023</v>
      </c>
      <c r="G765" s="709" t="s">
        <v>1070</v>
      </c>
      <c r="H765" s="709">
        <v>5009</v>
      </c>
      <c r="I765" s="709" t="s">
        <v>991</v>
      </c>
      <c r="J765" s="709">
        <v>63300155</v>
      </c>
      <c r="K765" s="709" t="s">
        <v>1352</v>
      </c>
      <c r="L765" s="712">
        <v>87580.862446959072</v>
      </c>
      <c r="M765" s="712">
        <v>92546.999999999985</v>
      </c>
      <c r="N765" s="712">
        <v>92546.999999999985</v>
      </c>
      <c r="O765" s="712">
        <v>92546.999999999985</v>
      </c>
      <c r="P765" s="712">
        <v>93530.341179924231</v>
      </c>
    </row>
    <row r="766" spans="1:16" hidden="1">
      <c r="A766" s="709" t="s">
        <v>541</v>
      </c>
      <c r="B766" s="709" t="s">
        <v>673</v>
      </c>
      <c r="C766" s="709" t="s">
        <v>1044</v>
      </c>
      <c r="D766" s="709" t="s">
        <v>1045</v>
      </c>
      <c r="E766" s="709" t="s">
        <v>1046</v>
      </c>
      <c r="F766" s="709" t="s">
        <v>1047</v>
      </c>
      <c r="G766" s="709" t="s">
        <v>1070</v>
      </c>
      <c r="H766" s="709">
        <v>5009</v>
      </c>
      <c r="I766" s="709" t="s">
        <v>991</v>
      </c>
      <c r="J766" s="709">
        <v>63300155</v>
      </c>
      <c r="K766" s="709" t="s">
        <v>1352</v>
      </c>
      <c r="L766" s="712">
        <v>56579.733583787587</v>
      </c>
      <c r="M766" s="712">
        <v>59788</v>
      </c>
      <c r="N766" s="712">
        <v>59788</v>
      </c>
      <c r="O766" s="712">
        <v>59788</v>
      </c>
      <c r="P766" s="712">
        <v>60423.266431816388</v>
      </c>
    </row>
    <row r="767" spans="1:16" hidden="1">
      <c r="A767" s="709" t="s">
        <v>133</v>
      </c>
      <c r="B767" s="709" t="s">
        <v>662</v>
      </c>
      <c r="C767" s="709" t="s">
        <v>1271</v>
      </c>
      <c r="D767" s="709" t="s">
        <v>1272</v>
      </c>
      <c r="E767" s="709" t="s">
        <v>1273</v>
      </c>
      <c r="F767" s="709" t="s">
        <v>1274</v>
      </c>
      <c r="G767" s="709" t="s">
        <v>1070</v>
      </c>
      <c r="H767" s="709">
        <v>5327</v>
      </c>
      <c r="I767" s="709" t="s">
        <v>754</v>
      </c>
      <c r="J767" s="709">
        <v>63300160</v>
      </c>
      <c r="K767" s="709" t="s">
        <v>1357</v>
      </c>
      <c r="L767" s="712">
        <v>2734670.244326171</v>
      </c>
      <c r="M767" s="712">
        <v>2889735.4973517</v>
      </c>
      <c r="N767" s="712">
        <v>2899545.8783503999</v>
      </c>
      <c r="O767" s="712">
        <v>2907918.6760443999</v>
      </c>
      <c r="P767" s="712">
        <v>2938816.2327672029</v>
      </c>
    </row>
    <row r="768" spans="1:16" hidden="1">
      <c r="A768" s="709" t="s">
        <v>126</v>
      </c>
      <c r="B768" s="709" t="s">
        <v>663</v>
      </c>
      <c r="C768" s="709" t="s">
        <v>1077</v>
      </c>
      <c r="D768" s="709" t="s">
        <v>1078</v>
      </c>
      <c r="E768" s="709" t="s">
        <v>1079</v>
      </c>
      <c r="F768" s="709" t="s">
        <v>1080</v>
      </c>
      <c r="G768" s="709" t="s">
        <v>1070</v>
      </c>
      <c r="H768" s="709">
        <v>5325</v>
      </c>
      <c r="I768" s="709" t="s">
        <v>768</v>
      </c>
      <c r="J768" s="709">
        <v>63300160</v>
      </c>
      <c r="K768" s="709" t="s">
        <v>1357</v>
      </c>
      <c r="L768" s="712">
        <v>8862.7702971652761</v>
      </c>
      <c r="M768" s="712">
        <v>9365.32</v>
      </c>
      <c r="N768" s="712">
        <v>9365.32</v>
      </c>
      <c r="O768" s="712">
        <v>9365.32</v>
      </c>
      <c r="P768" s="712">
        <v>9464.8294905201492</v>
      </c>
    </row>
    <row r="769" spans="1:16" hidden="1">
      <c r="A769" s="709" t="s">
        <v>126</v>
      </c>
      <c r="B769" s="709" t="s">
        <v>663</v>
      </c>
      <c r="C769" s="709" t="s">
        <v>1358</v>
      </c>
      <c r="D769" s="709" t="s">
        <v>1359</v>
      </c>
      <c r="E769" s="709" t="s">
        <v>1360</v>
      </c>
      <c r="F769" s="709" t="s">
        <v>1361</v>
      </c>
      <c r="G769" s="709" t="s">
        <v>1070</v>
      </c>
      <c r="H769" s="709">
        <v>5325</v>
      </c>
      <c r="I769" s="709" t="s">
        <v>768</v>
      </c>
      <c r="J769" s="709">
        <v>63300160</v>
      </c>
      <c r="K769" s="709" t="s">
        <v>1357</v>
      </c>
      <c r="L769" s="712">
        <v>886054.43815578101</v>
      </c>
      <c r="M769" s="712">
        <v>936296.78672855161</v>
      </c>
      <c r="N769" s="712">
        <v>959704.20639676519</v>
      </c>
      <c r="O769" s="712">
        <v>983696.81155668432</v>
      </c>
      <c r="P769" s="712">
        <v>994148.90166618407</v>
      </c>
    </row>
    <row r="770" spans="1:16" hidden="1">
      <c r="A770" s="709" t="s">
        <v>126</v>
      </c>
      <c r="B770" s="709" t="s">
        <v>663</v>
      </c>
      <c r="C770" s="709" t="s">
        <v>769</v>
      </c>
      <c r="D770" s="709" t="s">
        <v>770</v>
      </c>
      <c r="E770" s="709" t="s">
        <v>771</v>
      </c>
      <c r="F770" s="709" t="s">
        <v>772</v>
      </c>
      <c r="G770" s="709" t="s">
        <v>1070</v>
      </c>
      <c r="H770" s="709">
        <v>5325</v>
      </c>
      <c r="I770" s="709" t="s">
        <v>768</v>
      </c>
      <c r="J770" s="709">
        <v>63300160</v>
      </c>
      <c r="K770" s="709" t="s">
        <v>1357</v>
      </c>
      <c r="L770" s="712">
        <v>13265.600032933162</v>
      </c>
      <c r="M770" s="712">
        <v>14017.805396600001</v>
      </c>
      <c r="N770" s="712">
        <v>14368.250531</v>
      </c>
      <c r="O770" s="712">
        <v>14727.456794399999</v>
      </c>
      <c r="P770" s="712">
        <v>14883.940686276437</v>
      </c>
    </row>
    <row r="771" spans="1:16" hidden="1">
      <c r="A771" s="709" t="s">
        <v>127</v>
      </c>
      <c r="B771" s="709" t="s">
        <v>663</v>
      </c>
      <c r="C771" s="709" t="s">
        <v>1085</v>
      </c>
      <c r="D771" s="709" t="s">
        <v>1086</v>
      </c>
      <c r="E771" s="709" t="s">
        <v>1087</v>
      </c>
      <c r="F771" s="709" t="s">
        <v>1088</v>
      </c>
      <c r="G771" s="709" t="s">
        <v>1070</v>
      </c>
      <c r="H771" s="709">
        <v>5325</v>
      </c>
      <c r="I771" s="709" t="s">
        <v>768</v>
      </c>
      <c r="J771" s="709">
        <v>63300160</v>
      </c>
      <c r="K771" s="709" t="s">
        <v>1357</v>
      </c>
      <c r="L771" s="712">
        <v>8862.7702971652761</v>
      </c>
      <c r="M771" s="712">
        <v>9365.32</v>
      </c>
      <c r="N771" s="712">
        <v>9365.32</v>
      </c>
      <c r="O771" s="712">
        <v>9365.32</v>
      </c>
      <c r="P771" s="712">
        <v>9464.8294905201492</v>
      </c>
    </row>
    <row r="772" spans="1:16" hidden="1">
      <c r="A772" s="709" t="s">
        <v>127</v>
      </c>
      <c r="B772" s="709" t="s">
        <v>663</v>
      </c>
      <c r="C772" s="709" t="s">
        <v>1362</v>
      </c>
      <c r="D772" s="709" t="s">
        <v>1363</v>
      </c>
      <c r="E772" s="709" t="s">
        <v>1364</v>
      </c>
      <c r="F772" s="709" t="s">
        <v>1365</v>
      </c>
      <c r="G772" s="709" t="s">
        <v>1070</v>
      </c>
      <c r="H772" s="709">
        <v>5325</v>
      </c>
      <c r="I772" s="709" t="s">
        <v>768</v>
      </c>
      <c r="J772" s="709">
        <v>63300160</v>
      </c>
      <c r="K772" s="709" t="s">
        <v>1357</v>
      </c>
      <c r="L772" s="712">
        <v>3366546.1491502034</v>
      </c>
      <c r="M772" s="712">
        <v>3557440.9495464126</v>
      </c>
      <c r="N772" s="712">
        <v>3646376.9732850734</v>
      </c>
      <c r="O772" s="712">
        <v>3737536.3976171999</v>
      </c>
      <c r="P772" s="712">
        <v>3777248.9053294188</v>
      </c>
    </row>
    <row r="773" spans="1:16" hidden="1">
      <c r="A773" s="709" t="s">
        <v>406</v>
      </c>
      <c r="B773" s="709" t="s">
        <v>664</v>
      </c>
      <c r="C773" s="709" t="s">
        <v>781</v>
      </c>
      <c r="D773" s="709" t="s">
        <v>782</v>
      </c>
      <c r="E773" s="709" t="s">
        <v>783</v>
      </c>
      <c r="F773" s="709" t="s">
        <v>784</v>
      </c>
      <c r="G773" s="709" t="s">
        <v>1070</v>
      </c>
      <c r="H773" s="709">
        <v>5240</v>
      </c>
      <c r="I773" s="709" t="s">
        <v>785</v>
      </c>
      <c r="J773" s="709">
        <v>63300160</v>
      </c>
      <c r="K773" s="709" t="s">
        <v>1357</v>
      </c>
      <c r="L773" s="712">
        <v>10788.267927597157</v>
      </c>
      <c r="M773" s="712">
        <v>11400.000000000005</v>
      </c>
      <c r="N773" s="712">
        <v>11400.000000000005</v>
      </c>
      <c r="O773" s="712">
        <v>11400.000000000005</v>
      </c>
      <c r="P773" s="712">
        <v>11521.128609799745</v>
      </c>
    </row>
    <row r="774" spans="1:16" hidden="1">
      <c r="A774" s="709" t="s">
        <v>406</v>
      </c>
      <c r="B774" s="709" t="s">
        <v>664</v>
      </c>
      <c r="C774" s="709" t="s">
        <v>786</v>
      </c>
      <c r="D774" s="709" t="s">
        <v>787</v>
      </c>
      <c r="E774" s="709" t="s">
        <v>788</v>
      </c>
      <c r="F774" s="709" t="s">
        <v>789</v>
      </c>
      <c r="G774" s="709" t="s">
        <v>1070</v>
      </c>
      <c r="H774" s="709">
        <v>5240</v>
      </c>
      <c r="I774" s="709" t="s">
        <v>785</v>
      </c>
      <c r="J774" s="709">
        <v>63300160</v>
      </c>
      <c r="K774" s="709" t="s">
        <v>1357</v>
      </c>
      <c r="L774" s="712">
        <v>10548.844086747848</v>
      </c>
      <c r="M774" s="712">
        <v>11147.000000000002</v>
      </c>
      <c r="N774" s="712">
        <v>11147.000000000002</v>
      </c>
      <c r="O774" s="712">
        <v>11147.000000000002</v>
      </c>
      <c r="P774" s="712">
        <v>11265.440404687519</v>
      </c>
    </row>
    <row r="775" spans="1:16" hidden="1">
      <c r="A775" s="709" t="s">
        <v>593</v>
      </c>
      <c r="B775" s="709" t="s">
        <v>665</v>
      </c>
      <c r="C775" s="709" t="s">
        <v>802</v>
      </c>
      <c r="D775" s="709" t="s">
        <v>803</v>
      </c>
      <c r="E775" s="709" t="s">
        <v>804</v>
      </c>
      <c r="F775" s="709" t="s">
        <v>805</v>
      </c>
      <c r="G775" s="709" t="s">
        <v>1070</v>
      </c>
      <c r="H775" s="709">
        <v>5150</v>
      </c>
      <c r="I775" s="709" t="s">
        <v>806</v>
      </c>
      <c r="J775" s="709">
        <v>63300160</v>
      </c>
      <c r="K775" s="709" t="s">
        <v>1357</v>
      </c>
      <c r="L775" s="712">
        <v>70975.446892086533</v>
      </c>
      <c r="M775" s="712">
        <v>75000.000000000015</v>
      </c>
      <c r="N775" s="712">
        <v>76800.000000000015</v>
      </c>
      <c r="O775" s="712">
        <v>78720.000000000015</v>
      </c>
      <c r="P775" s="712">
        <v>79556.424926617168</v>
      </c>
    </row>
    <row r="776" spans="1:16" hidden="1">
      <c r="A776" s="709" t="s">
        <v>593</v>
      </c>
      <c r="B776" s="709" t="s">
        <v>665</v>
      </c>
      <c r="C776" s="709" t="s">
        <v>807</v>
      </c>
      <c r="D776" s="709" t="s">
        <v>808</v>
      </c>
      <c r="E776" s="709" t="s">
        <v>809</v>
      </c>
      <c r="F776" s="709" t="s">
        <v>810</v>
      </c>
      <c r="G776" s="709" t="s">
        <v>1070</v>
      </c>
      <c r="H776" s="709">
        <v>5150</v>
      </c>
      <c r="I776" s="709" t="s">
        <v>806</v>
      </c>
      <c r="J776" s="709">
        <v>63300160</v>
      </c>
      <c r="K776" s="709" t="s">
        <v>1357</v>
      </c>
      <c r="L776" s="712">
        <v>1135.6071502733846</v>
      </c>
      <c r="M776" s="712">
        <v>1200.0000000000002</v>
      </c>
      <c r="N776" s="712">
        <v>1200.0000000000002</v>
      </c>
      <c r="O776" s="712">
        <v>1200.0000000000002</v>
      </c>
      <c r="P776" s="712">
        <v>1212.7503799789201</v>
      </c>
    </row>
    <row r="777" spans="1:16" hidden="1">
      <c r="A777" s="709" t="s">
        <v>593</v>
      </c>
      <c r="B777" s="709" t="s">
        <v>665</v>
      </c>
      <c r="C777" s="709" t="s">
        <v>815</v>
      </c>
      <c r="D777" s="709" t="s">
        <v>816</v>
      </c>
      <c r="E777" s="709" t="s">
        <v>817</v>
      </c>
      <c r="F777" s="709" t="s">
        <v>818</v>
      </c>
      <c r="G777" s="709" t="s">
        <v>1070</v>
      </c>
      <c r="H777" s="709">
        <v>5150</v>
      </c>
      <c r="I777" s="709" t="s">
        <v>806</v>
      </c>
      <c r="J777" s="709">
        <v>63300160</v>
      </c>
      <c r="K777" s="709" t="s">
        <v>1357</v>
      </c>
      <c r="L777" s="712">
        <v>14762.892953553994</v>
      </c>
      <c r="M777" s="712">
        <v>15599.999999999996</v>
      </c>
      <c r="N777" s="712">
        <v>15959.999999999996</v>
      </c>
      <c r="O777" s="712">
        <v>16379.999999999996</v>
      </c>
      <c r="P777" s="712">
        <v>16554.042686712255</v>
      </c>
    </row>
    <row r="778" spans="1:16" hidden="1">
      <c r="A778" s="709" t="s">
        <v>398</v>
      </c>
      <c r="B778" s="709" t="s">
        <v>667</v>
      </c>
      <c r="C778" s="709" t="s">
        <v>861</v>
      </c>
      <c r="D778" s="709" t="s">
        <v>862</v>
      </c>
      <c r="E778" s="709" t="s">
        <v>863</v>
      </c>
      <c r="F778" s="709" t="s">
        <v>864</v>
      </c>
      <c r="G778" s="709" t="s">
        <v>1070</v>
      </c>
      <c r="H778" s="709">
        <v>5025</v>
      </c>
      <c r="I778" s="709" t="s">
        <v>840</v>
      </c>
      <c r="J778" s="709">
        <v>63300160</v>
      </c>
      <c r="K778" s="709" t="s">
        <v>1357</v>
      </c>
      <c r="L778" s="712">
        <v>9463.3929189448681</v>
      </c>
      <c r="M778" s="712">
        <v>9999.9999999999982</v>
      </c>
      <c r="N778" s="712">
        <v>9999.9999999999982</v>
      </c>
      <c r="O778" s="712">
        <v>9999.9999999999982</v>
      </c>
      <c r="P778" s="712">
        <v>10106.253166490998</v>
      </c>
    </row>
    <row r="779" spans="1:16" hidden="1">
      <c r="A779" s="709" t="s">
        <v>287</v>
      </c>
      <c r="B779" s="709" t="s">
        <v>670</v>
      </c>
      <c r="C779" s="709" t="s">
        <v>934</v>
      </c>
      <c r="D779" s="709" t="s">
        <v>935</v>
      </c>
      <c r="E779" s="709" t="s">
        <v>936</v>
      </c>
      <c r="F779" s="709" t="s">
        <v>937</v>
      </c>
      <c r="G779" s="709" t="s">
        <v>1070</v>
      </c>
      <c r="H779" s="709">
        <v>5019</v>
      </c>
      <c r="I779" s="709" t="s">
        <v>921</v>
      </c>
      <c r="J779" s="709">
        <v>63300160</v>
      </c>
      <c r="K779" s="709" t="s">
        <v>1357</v>
      </c>
      <c r="L779" s="712">
        <v>11639.973290302192</v>
      </c>
      <c r="M779" s="712">
        <v>12300.000000000004</v>
      </c>
      <c r="N779" s="712">
        <v>12300.000000000004</v>
      </c>
      <c r="O779" s="712">
        <v>12300.000000000004</v>
      </c>
      <c r="P779" s="712">
        <v>12430.691394783933</v>
      </c>
    </row>
    <row r="780" spans="1:16" hidden="1">
      <c r="A780" s="709" t="s">
        <v>542</v>
      </c>
      <c r="B780" s="709" t="s">
        <v>673</v>
      </c>
      <c r="C780" s="709" t="s">
        <v>1218</v>
      </c>
      <c r="D780" s="709" t="s">
        <v>1219</v>
      </c>
      <c r="E780" s="709" t="s">
        <v>1220</v>
      </c>
      <c r="F780" s="709" t="s">
        <v>1221</v>
      </c>
      <c r="G780" s="709" t="s">
        <v>1070</v>
      </c>
      <c r="H780" s="709">
        <v>5009</v>
      </c>
      <c r="I780" s="709" t="s">
        <v>991</v>
      </c>
      <c r="J780" s="709">
        <v>63300160</v>
      </c>
      <c r="K780" s="709" t="s">
        <v>1357</v>
      </c>
      <c r="L780" s="712">
        <v>28390.178756834608</v>
      </c>
      <c r="M780" s="712">
        <v>30000</v>
      </c>
      <c r="N780" s="712">
        <v>30000</v>
      </c>
      <c r="O780" s="712">
        <v>30000</v>
      </c>
      <c r="P780" s="712">
        <v>30318.759499472999</v>
      </c>
    </row>
    <row r="781" spans="1:16" hidden="1">
      <c r="A781" s="709" t="s">
        <v>593</v>
      </c>
      <c r="B781" s="709" t="s">
        <v>665</v>
      </c>
      <c r="C781" s="709" t="s">
        <v>802</v>
      </c>
      <c r="D781" s="709" t="s">
        <v>803</v>
      </c>
      <c r="E781" s="709" t="s">
        <v>804</v>
      </c>
      <c r="F781" s="709" t="s">
        <v>805</v>
      </c>
      <c r="G781" s="709" t="s">
        <v>1070</v>
      </c>
      <c r="H781" s="709">
        <v>5150</v>
      </c>
      <c r="I781" s="709" t="s">
        <v>806</v>
      </c>
      <c r="J781" s="709">
        <v>63300135</v>
      </c>
      <c r="K781" s="709" t="s">
        <v>1366</v>
      </c>
      <c r="L781" s="712">
        <v>3406.821450820154</v>
      </c>
      <c r="M781" s="712">
        <v>3600.0000000000009</v>
      </c>
      <c r="N781" s="712">
        <v>3600.0000000000009</v>
      </c>
      <c r="O781" s="712">
        <v>3600.0000000000009</v>
      </c>
      <c r="P781" s="712">
        <v>3638.2511399367609</v>
      </c>
    </row>
    <row r="782" spans="1:16" hidden="1">
      <c r="A782" s="709" t="s">
        <v>133</v>
      </c>
      <c r="B782" s="709" t="s">
        <v>662</v>
      </c>
      <c r="C782" s="709" t="s">
        <v>749</v>
      </c>
      <c r="D782" s="709" t="s">
        <v>750</v>
      </c>
      <c r="E782" s="709" t="s">
        <v>751</v>
      </c>
      <c r="F782" s="709" t="s">
        <v>752</v>
      </c>
      <c r="G782" s="709" t="s">
        <v>1348</v>
      </c>
      <c r="H782" s="709">
        <v>5327</v>
      </c>
      <c r="I782" s="709" t="s">
        <v>754</v>
      </c>
      <c r="J782" s="709">
        <v>63300130</v>
      </c>
      <c r="K782" s="709" t="s">
        <v>1367</v>
      </c>
      <c r="L782" s="712">
        <v>14099.928936423335</v>
      </c>
      <c r="M782" s="712">
        <v>14899.443632099999</v>
      </c>
      <c r="N782" s="712">
        <v>18075.65289936859</v>
      </c>
      <c r="O782" s="712">
        <v>18075.65289936859</v>
      </c>
      <c r="P782" s="712">
        <v>18267.712435063604</v>
      </c>
    </row>
    <row r="783" spans="1:16" hidden="1">
      <c r="A783" s="709" t="s">
        <v>133</v>
      </c>
      <c r="B783" s="709" t="s">
        <v>662</v>
      </c>
      <c r="C783" s="709" t="s">
        <v>756</v>
      </c>
      <c r="D783" s="709" t="s">
        <v>757</v>
      </c>
      <c r="E783" s="709" t="s">
        <v>758</v>
      </c>
      <c r="F783" s="709" t="s">
        <v>759</v>
      </c>
      <c r="G783" s="709" t="s">
        <v>1348</v>
      </c>
      <c r="H783" s="709">
        <v>5327</v>
      </c>
      <c r="I783" s="709" t="s">
        <v>754</v>
      </c>
      <c r="J783" s="709">
        <v>63300130</v>
      </c>
      <c r="K783" s="709" t="s">
        <v>1367</v>
      </c>
      <c r="L783" s="712">
        <v>1295.6420689531933</v>
      </c>
      <c r="M783" s="712">
        <v>1369.1094515999998</v>
      </c>
      <c r="N783" s="712">
        <v>2030.6815648960405</v>
      </c>
      <c r="O783" s="712">
        <v>2030.6815648960405</v>
      </c>
      <c r="P783" s="712">
        <v>2052.2581995365508</v>
      </c>
    </row>
    <row r="784" spans="1:16" hidden="1">
      <c r="A784" s="709" t="s">
        <v>133</v>
      </c>
      <c r="B784" s="709" t="s">
        <v>662</v>
      </c>
      <c r="C784" s="709" t="s">
        <v>760</v>
      </c>
      <c r="D784" s="709" t="s">
        <v>761</v>
      </c>
      <c r="E784" s="709" t="s">
        <v>762</v>
      </c>
      <c r="F784" s="709" t="s">
        <v>763</v>
      </c>
      <c r="G784" s="709" t="s">
        <v>1348</v>
      </c>
      <c r="H784" s="709">
        <v>5327</v>
      </c>
      <c r="I784" s="709" t="s">
        <v>754</v>
      </c>
      <c r="J784" s="709">
        <v>63300130</v>
      </c>
      <c r="K784" s="709" t="s">
        <v>1367</v>
      </c>
      <c r="L784" s="712">
        <v>8023.3143053034037</v>
      </c>
      <c r="M784" s="712">
        <v>8478.2639524999995</v>
      </c>
      <c r="N784" s="712">
        <v>7142.6378690491338</v>
      </c>
      <c r="O784" s="712">
        <v>7142.6378690491338</v>
      </c>
      <c r="P784" s="712">
        <v>7218.5306581176328</v>
      </c>
    </row>
    <row r="785" spans="1:16" hidden="1">
      <c r="A785" s="709" t="s">
        <v>126</v>
      </c>
      <c r="B785" s="709" t="s">
        <v>663</v>
      </c>
      <c r="C785" s="709" t="s">
        <v>764</v>
      </c>
      <c r="D785" s="709" t="s">
        <v>765</v>
      </c>
      <c r="E785" s="709" t="s">
        <v>766</v>
      </c>
      <c r="F785" s="709" t="s">
        <v>767</v>
      </c>
      <c r="G785" s="709" t="s">
        <v>1348</v>
      </c>
      <c r="H785" s="709">
        <v>5325</v>
      </c>
      <c r="I785" s="709" t="s">
        <v>768</v>
      </c>
      <c r="J785" s="709">
        <v>63300130</v>
      </c>
      <c r="K785" s="709" t="s">
        <v>1367</v>
      </c>
      <c r="L785" s="712">
        <v>12355.465450973143</v>
      </c>
      <c r="M785" s="712">
        <v>13056.0630387</v>
      </c>
      <c r="N785" s="712">
        <v>27826.133555630971</v>
      </c>
      <c r="O785" s="712">
        <v>27826.133555630971</v>
      </c>
      <c r="P785" s="712">
        <v>28121.795035779694</v>
      </c>
    </row>
    <row r="786" spans="1:16" hidden="1">
      <c r="A786" s="709" t="s">
        <v>126</v>
      </c>
      <c r="B786" s="709" t="s">
        <v>663</v>
      </c>
      <c r="C786" s="709" t="s">
        <v>769</v>
      </c>
      <c r="D786" s="709" t="s">
        <v>770</v>
      </c>
      <c r="E786" s="709" t="s">
        <v>771</v>
      </c>
      <c r="F786" s="709" t="s">
        <v>772</v>
      </c>
      <c r="G786" s="709" t="s">
        <v>1348</v>
      </c>
      <c r="H786" s="709">
        <v>5325</v>
      </c>
      <c r="I786" s="709" t="s">
        <v>768</v>
      </c>
      <c r="J786" s="709">
        <v>63300130</v>
      </c>
      <c r="K786" s="709" t="s">
        <v>1367</v>
      </c>
      <c r="L786" s="712">
        <v>4934.0296997478899</v>
      </c>
      <c r="M786" s="712">
        <v>5213.8062342000003</v>
      </c>
      <c r="N786" s="712">
        <v>16449.050796487125</v>
      </c>
      <c r="O786" s="712">
        <v>16449.050796487125</v>
      </c>
      <c r="P786" s="712">
        <v>16623.827169776931</v>
      </c>
    </row>
    <row r="787" spans="1:16" hidden="1">
      <c r="A787" s="709" t="s">
        <v>127</v>
      </c>
      <c r="B787" s="709" t="s">
        <v>663</v>
      </c>
      <c r="C787" s="709" t="s">
        <v>773</v>
      </c>
      <c r="D787" s="709" t="s">
        <v>774</v>
      </c>
      <c r="E787" s="709" t="s">
        <v>775</v>
      </c>
      <c r="F787" s="709" t="s">
        <v>776</v>
      </c>
      <c r="G787" s="709" t="s">
        <v>1348</v>
      </c>
      <c r="H787" s="709">
        <v>5325</v>
      </c>
      <c r="I787" s="709" t="s">
        <v>768</v>
      </c>
      <c r="J787" s="709">
        <v>63300130</v>
      </c>
      <c r="K787" s="709" t="s">
        <v>1367</v>
      </c>
      <c r="L787" s="712">
        <v>12355.465451067779</v>
      </c>
      <c r="M787" s="712">
        <v>13056.063038800005</v>
      </c>
      <c r="N787" s="712">
        <v>24660.15796320454</v>
      </c>
      <c r="O787" s="712">
        <v>24660.15796320454</v>
      </c>
      <c r="P787" s="712">
        <v>24922.179950180413</v>
      </c>
    </row>
    <row r="788" spans="1:16" hidden="1">
      <c r="A788" s="709" t="s">
        <v>127</v>
      </c>
      <c r="B788" s="709" t="s">
        <v>663</v>
      </c>
      <c r="C788" s="709" t="s">
        <v>777</v>
      </c>
      <c r="D788" s="709" t="s">
        <v>778</v>
      </c>
      <c r="E788" s="709" t="s">
        <v>779</v>
      </c>
      <c r="F788" s="709" t="s">
        <v>780</v>
      </c>
      <c r="G788" s="709" t="s">
        <v>1348</v>
      </c>
      <c r="H788" s="709">
        <v>5325</v>
      </c>
      <c r="I788" s="709" t="s">
        <v>768</v>
      </c>
      <c r="J788" s="709">
        <v>63300130</v>
      </c>
      <c r="K788" s="709" t="s">
        <v>1367</v>
      </c>
      <c r="L788" s="712">
        <v>4902.6160533542297</v>
      </c>
      <c r="M788" s="712">
        <v>5180.6113255</v>
      </c>
      <c r="N788" s="712">
        <v>68737.552899152652</v>
      </c>
      <c r="O788" s="712">
        <v>68737.552899152652</v>
      </c>
      <c r="P788" s="712">
        <v>69467.911164390403</v>
      </c>
    </row>
    <row r="789" spans="1:16" hidden="1">
      <c r="A789" s="709" t="s">
        <v>406</v>
      </c>
      <c r="B789" s="709" t="s">
        <v>664</v>
      </c>
      <c r="C789" s="709" t="s">
        <v>781</v>
      </c>
      <c r="D789" s="709" t="s">
        <v>782</v>
      </c>
      <c r="E789" s="709" t="s">
        <v>783</v>
      </c>
      <c r="F789" s="709" t="s">
        <v>784</v>
      </c>
      <c r="G789" s="709" t="s">
        <v>1348</v>
      </c>
      <c r="H789" s="709">
        <v>5240</v>
      </c>
      <c r="I789" s="709" t="s">
        <v>785</v>
      </c>
      <c r="J789" s="709">
        <v>63300130</v>
      </c>
      <c r="K789" s="709" t="s">
        <v>1367</v>
      </c>
      <c r="L789" s="712">
        <v>8267.2349459638754</v>
      </c>
      <c r="M789" s="712">
        <v>8736.0157364000042</v>
      </c>
      <c r="N789" s="712">
        <v>16306.895514591786</v>
      </c>
      <c r="O789" s="712">
        <v>16306.895514591786</v>
      </c>
      <c r="P789" s="712">
        <v>16480.161442998113</v>
      </c>
    </row>
    <row r="790" spans="1:16" hidden="1">
      <c r="A790" s="709" t="s">
        <v>406</v>
      </c>
      <c r="B790" s="709" t="s">
        <v>664</v>
      </c>
      <c r="C790" s="709" t="s">
        <v>786</v>
      </c>
      <c r="D790" s="709" t="s">
        <v>787</v>
      </c>
      <c r="E790" s="709" t="s">
        <v>788</v>
      </c>
      <c r="F790" s="709" t="s">
        <v>789</v>
      </c>
      <c r="G790" s="709" t="s">
        <v>1348</v>
      </c>
      <c r="H790" s="709">
        <v>5240</v>
      </c>
      <c r="I790" s="709" t="s">
        <v>785</v>
      </c>
      <c r="J790" s="709">
        <v>63300130</v>
      </c>
      <c r="K790" s="709" t="s">
        <v>1367</v>
      </c>
      <c r="L790" s="712">
        <v>20259.638397059727</v>
      </c>
      <c r="M790" s="712">
        <v>21408.429905200002</v>
      </c>
      <c r="N790" s="712">
        <v>46223.355486252425</v>
      </c>
      <c r="O790" s="712">
        <v>46223.355486252425</v>
      </c>
      <c r="P790" s="712">
        <v>46714.493274877765</v>
      </c>
    </row>
    <row r="791" spans="1:16" hidden="1">
      <c r="A791" s="709" t="s">
        <v>406</v>
      </c>
      <c r="B791" s="709" t="s">
        <v>664</v>
      </c>
      <c r="C791" s="709" t="s">
        <v>790</v>
      </c>
      <c r="D791" s="709" t="s">
        <v>791</v>
      </c>
      <c r="E791" s="709" t="s">
        <v>792</v>
      </c>
      <c r="F791" s="709" t="s">
        <v>793</v>
      </c>
      <c r="G791" s="709" t="s">
        <v>1348</v>
      </c>
      <c r="H791" s="709">
        <v>5240</v>
      </c>
      <c r="I791" s="709" t="s">
        <v>785</v>
      </c>
      <c r="J791" s="709">
        <v>63300130</v>
      </c>
      <c r="K791" s="709" t="s">
        <v>1367</v>
      </c>
      <c r="L791" s="712">
        <v>12775.869837660775</v>
      </c>
      <c r="M791" s="712">
        <v>13500.3058069</v>
      </c>
      <c r="N791" s="712">
        <v>1749.9343266385854</v>
      </c>
      <c r="O791" s="712">
        <v>1749.9343266385854</v>
      </c>
      <c r="P791" s="712">
        <v>1768.5279329742498</v>
      </c>
    </row>
    <row r="792" spans="1:16" hidden="1">
      <c r="A792" s="709" t="s">
        <v>406</v>
      </c>
      <c r="B792" s="709" t="s">
        <v>664</v>
      </c>
      <c r="C792" s="709" t="s">
        <v>794</v>
      </c>
      <c r="D792" s="709" t="s">
        <v>795</v>
      </c>
      <c r="E792" s="709" t="s">
        <v>796</v>
      </c>
      <c r="F792" s="709" t="s">
        <v>797</v>
      </c>
      <c r="G792" s="709" t="s">
        <v>1348</v>
      </c>
      <c r="H792" s="709">
        <v>5240</v>
      </c>
      <c r="I792" s="709" t="s">
        <v>785</v>
      </c>
      <c r="J792" s="709">
        <v>63300130</v>
      </c>
      <c r="K792" s="709" t="s">
        <v>1367</v>
      </c>
      <c r="L792" s="712">
        <v>6284.9808413508399</v>
      </c>
      <c r="M792" s="712">
        <v>6641.3609740000002</v>
      </c>
      <c r="N792" s="712">
        <v>7236.6603894904092</v>
      </c>
      <c r="O792" s="712">
        <v>7236.6603894904092</v>
      </c>
      <c r="P792" s="712">
        <v>7313.5521976107439</v>
      </c>
    </row>
    <row r="793" spans="1:16" hidden="1">
      <c r="A793" s="709" t="s">
        <v>406</v>
      </c>
      <c r="B793" s="709" t="s">
        <v>664</v>
      </c>
      <c r="C793" s="709" t="s">
        <v>798</v>
      </c>
      <c r="D793" s="709" t="s">
        <v>799</v>
      </c>
      <c r="E793" s="709" t="s">
        <v>800</v>
      </c>
      <c r="F793" s="709" t="s">
        <v>801</v>
      </c>
      <c r="G793" s="709" t="s">
        <v>1348</v>
      </c>
      <c r="H793" s="709">
        <v>5240</v>
      </c>
      <c r="I793" s="709" t="s">
        <v>785</v>
      </c>
      <c r="J793" s="709">
        <v>63300130</v>
      </c>
      <c r="K793" s="709" t="s">
        <v>1367</v>
      </c>
      <c r="L793" s="712">
        <v>23933.568696138285</v>
      </c>
      <c r="M793" s="712">
        <v>25290.684748199998</v>
      </c>
      <c r="N793" s="712">
        <v>16844.041523125365</v>
      </c>
      <c r="O793" s="712">
        <v>16844.041523125365</v>
      </c>
      <c r="P793" s="712">
        <v>17023.01479795916</v>
      </c>
    </row>
    <row r="794" spans="1:16" hidden="1">
      <c r="A794" s="709" t="s">
        <v>593</v>
      </c>
      <c r="B794" s="709" t="s">
        <v>665</v>
      </c>
      <c r="C794" s="709" t="s">
        <v>802</v>
      </c>
      <c r="D794" s="709" t="s">
        <v>803</v>
      </c>
      <c r="E794" s="709" t="s">
        <v>804</v>
      </c>
      <c r="F794" s="709" t="s">
        <v>805</v>
      </c>
      <c r="G794" s="709" t="s">
        <v>1348</v>
      </c>
      <c r="H794" s="709">
        <v>5150</v>
      </c>
      <c r="I794" s="709" t="s">
        <v>806</v>
      </c>
      <c r="J794" s="709">
        <v>63300130</v>
      </c>
      <c r="K794" s="709" t="s">
        <v>1367</v>
      </c>
      <c r="L794" s="712">
        <v>14432.619076128136</v>
      </c>
      <c r="M794" s="712">
        <v>15250.998452400003</v>
      </c>
      <c r="N794" s="712">
        <v>38467.872533023954</v>
      </c>
      <c r="O794" s="712">
        <v>38467.872533023954</v>
      </c>
      <c r="P794" s="712">
        <v>38876.605859504547</v>
      </c>
    </row>
    <row r="795" spans="1:16" hidden="1">
      <c r="A795" s="709" t="s">
        <v>593</v>
      </c>
      <c r="B795" s="709" t="s">
        <v>665</v>
      </c>
      <c r="C795" s="709" t="s">
        <v>807</v>
      </c>
      <c r="D795" s="709" t="s">
        <v>808</v>
      </c>
      <c r="E795" s="709" t="s">
        <v>809</v>
      </c>
      <c r="F795" s="709" t="s">
        <v>810</v>
      </c>
      <c r="G795" s="709" t="s">
        <v>1348</v>
      </c>
      <c r="H795" s="709">
        <v>5150</v>
      </c>
      <c r="I795" s="709" t="s">
        <v>806</v>
      </c>
      <c r="J795" s="709">
        <v>63300130</v>
      </c>
      <c r="K795" s="709" t="s">
        <v>1367</v>
      </c>
      <c r="L795" s="712">
        <v>33672.064862484032</v>
      </c>
      <c r="M795" s="712">
        <v>35581.387300400005</v>
      </c>
      <c r="N795" s="712">
        <v>52122.033534741691</v>
      </c>
      <c r="O795" s="712">
        <v>52122.033534741691</v>
      </c>
      <c r="P795" s="712">
        <v>52675.846645443329</v>
      </c>
    </row>
    <row r="796" spans="1:16" hidden="1">
      <c r="A796" s="709" t="s">
        <v>593</v>
      </c>
      <c r="B796" s="709" t="s">
        <v>665</v>
      </c>
      <c r="C796" s="709" t="s">
        <v>811</v>
      </c>
      <c r="D796" s="709" t="s">
        <v>812</v>
      </c>
      <c r="E796" s="709" t="s">
        <v>813</v>
      </c>
      <c r="F796" s="709" t="s">
        <v>814</v>
      </c>
      <c r="G796" s="709" t="s">
        <v>1348</v>
      </c>
      <c r="H796" s="709">
        <v>5150</v>
      </c>
      <c r="I796" s="709" t="s">
        <v>806</v>
      </c>
      <c r="J796" s="709">
        <v>63300130</v>
      </c>
      <c r="K796" s="709" t="s">
        <v>1367</v>
      </c>
      <c r="L796" s="712">
        <v>2115.9374304688922</v>
      </c>
      <c r="M796" s="712">
        <v>2235.9183948000023</v>
      </c>
      <c r="N796" s="712">
        <v>708.24027418987168</v>
      </c>
      <c r="O796" s="712">
        <v>708.24027418987168</v>
      </c>
      <c r="P796" s="712">
        <v>715.76555136678439</v>
      </c>
    </row>
    <row r="797" spans="1:16" hidden="1">
      <c r="A797" s="709" t="s">
        <v>593</v>
      </c>
      <c r="B797" s="709" t="s">
        <v>665</v>
      </c>
      <c r="C797" s="709" t="s">
        <v>815</v>
      </c>
      <c r="D797" s="709" t="s">
        <v>816</v>
      </c>
      <c r="E797" s="709" t="s">
        <v>817</v>
      </c>
      <c r="F797" s="709" t="s">
        <v>818</v>
      </c>
      <c r="G797" s="709" t="s">
        <v>1348</v>
      </c>
      <c r="H797" s="709">
        <v>5150</v>
      </c>
      <c r="I797" s="709" t="s">
        <v>806</v>
      </c>
      <c r="J797" s="709">
        <v>63300130</v>
      </c>
      <c r="K797" s="709" t="s">
        <v>1367</v>
      </c>
      <c r="L797" s="712">
        <v>66247.677077859393</v>
      </c>
      <c r="M797" s="712">
        <v>70004.149299599987</v>
      </c>
      <c r="N797" s="712">
        <v>204857.69007753956</v>
      </c>
      <c r="O797" s="712">
        <v>204857.69007753956</v>
      </c>
      <c r="P797" s="712">
        <v>207034.36790261659</v>
      </c>
    </row>
    <row r="798" spans="1:16" hidden="1">
      <c r="A798" s="709" t="s">
        <v>593</v>
      </c>
      <c r="B798" s="709" t="s">
        <v>665</v>
      </c>
      <c r="C798" s="709" t="s">
        <v>819</v>
      </c>
      <c r="D798" s="709" t="s">
        <v>820</v>
      </c>
      <c r="E798" s="709" t="s">
        <v>821</v>
      </c>
      <c r="F798" s="709" t="s">
        <v>822</v>
      </c>
      <c r="G798" s="709" t="s">
        <v>1348</v>
      </c>
      <c r="H798" s="709">
        <v>5150</v>
      </c>
      <c r="I798" s="709" t="s">
        <v>806</v>
      </c>
      <c r="J798" s="709">
        <v>63300130</v>
      </c>
      <c r="K798" s="709" t="s">
        <v>1367</v>
      </c>
      <c r="L798" s="712">
        <v>44003.795430519836</v>
      </c>
      <c r="M798" s="712">
        <v>46498.962694900009</v>
      </c>
      <c r="N798" s="712">
        <v>62149.255475882703</v>
      </c>
      <c r="O798" s="712">
        <v>62149.255475882703</v>
      </c>
      <c r="P798" s="712">
        <v>62809.610994819763</v>
      </c>
    </row>
    <row r="799" spans="1:16" hidden="1">
      <c r="A799" s="709" t="s">
        <v>398</v>
      </c>
      <c r="B799" s="709" t="s">
        <v>667</v>
      </c>
      <c r="C799" s="709" t="s">
        <v>836</v>
      </c>
      <c r="D799" s="709" t="s">
        <v>837</v>
      </c>
      <c r="E799" s="709" t="s">
        <v>838</v>
      </c>
      <c r="F799" s="709" t="s">
        <v>839</v>
      </c>
      <c r="G799" s="709" t="s">
        <v>1348</v>
      </c>
      <c r="H799" s="709">
        <v>5025</v>
      </c>
      <c r="I799" s="709" t="s">
        <v>840</v>
      </c>
      <c r="J799" s="709">
        <v>63300130</v>
      </c>
      <c r="K799" s="709" t="s">
        <v>1367</v>
      </c>
      <c r="L799" s="712">
        <v>16344.567360503735</v>
      </c>
      <c r="M799" s="712">
        <v>17271.3608116</v>
      </c>
      <c r="N799" s="712">
        <v>34423.633529330909</v>
      </c>
      <c r="O799" s="712">
        <v>34423.633529330909</v>
      </c>
      <c r="P799" s="712">
        <v>34789.395535792624</v>
      </c>
    </row>
    <row r="800" spans="1:16" hidden="1">
      <c r="A800" s="709" t="s">
        <v>398</v>
      </c>
      <c r="B800" s="709" t="s">
        <v>667</v>
      </c>
      <c r="C800" s="709" t="s">
        <v>841</v>
      </c>
      <c r="D800" s="709" t="s">
        <v>842</v>
      </c>
      <c r="E800" s="709" t="s">
        <v>843</v>
      </c>
      <c r="F800" s="709" t="s">
        <v>844</v>
      </c>
      <c r="G800" s="709" t="s">
        <v>1348</v>
      </c>
      <c r="H800" s="709">
        <v>5025</v>
      </c>
      <c r="I800" s="709" t="s">
        <v>840</v>
      </c>
      <c r="J800" s="709">
        <v>63300130</v>
      </c>
      <c r="K800" s="709" t="s">
        <v>1367</v>
      </c>
      <c r="L800" s="712">
        <v>413.36403126914786</v>
      </c>
      <c r="M800" s="712">
        <v>436.80320030000013</v>
      </c>
      <c r="N800" s="712">
        <v>1747.015436645451</v>
      </c>
      <c r="O800" s="712">
        <v>1747.015436645451</v>
      </c>
      <c r="P800" s="712">
        <v>1765.5780288506746</v>
      </c>
    </row>
    <row r="801" spans="1:16" hidden="1">
      <c r="A801" s="709" t="s">
        <v>398</v>
      </c>
      <c r="B801" s="709" t="s">
        <v>667</v>
      </c>
      <c r="C801" s="709" t="s">
        <v>845</v>
      </c>
      <c r="D801" s="709" t="s">
        <v>846</v>
      </c>
      <c r="E801" s="709" t="s">
        <v>847</v>
      </c>
      <c r="F801" s="709" t="s">
        <v>848</v>
      </c>
      <c r="G801" s="709" t="s">
        <v>1348</v>
      </c>
      <c r="H801" s="709">
        <v>5025</v>
      </c>
      <c r="I801" s="709" t="s">
        <v>840</v>
      </c>
      <c r="J801" s="709">
        <v>63300130</v>
      </c>
      <c r="K801" s="709" t="s">
        <v>1367</v>
      </c>
      <c r="L801" s="712">
        <v>405.85720335324845</v>
      </c>
      <c r="M801" s="712">
        <v>428.8707093000001</v>
      </c>
      <c r="N801" s="712">
        <v>644.11079291790236</v>
      </c>
      <c r="O801" s="712">
        <v>644.11079291790236</v>
      </c>
      <c r="P801" s="712">
        <v>650.95467404975795</v>
      </c>
    </row>
    <row r="802" spans="1:16" hidden="1">
      <c r="A802" s="709" t="s">
        <v>398</v>
      </c>
      <c r="B802" s="709" t="s">
        <v>667</v>
      </c>
      <c r="C802" s="709" t="s">
        <v>849</v>
      </c>
      <c r="D802" s="709" t="s">
        <v>850</v>
      </c>
      <c r="E802" s="709" t="s">
        <v>851</v>
      </c>
      <c r="F802" s="709" t="s">
        <v>852</v>
      </c>
      <c r="G802" s="709" t="s">
        <v>1348</v>
      </c>
      <c r="H802" s="709">
        <v>5025</v>
      </c>
      <c r="I802" s="709" t="s">
        <v>840</v>
      </c>
      <c r="J802" s="709">
        <v>63300130</v>
      </c>
      <c r="K802" s="709" t="s">
        <v>1367</v>
      </c>
      <c r="L802" s="712">
        <v>7452.4921806551865</v>
      </c>
      <c r="M802" s="712">
        <v>7875.0742407999996</v>
      </c>
      <c r="N802" s="712">
        <v>22949.340338380356</v>
      </c>
      <c r="O802" s="712">
        <v>22949.340338380356</v>
      </c>
      <c r="P802" s="712">
        <v>23193.184346363611</v>
      </c>
    </row>
    <row r="803" spans="1:16" hidden="1">
      <c r="A803" s="709" t="s">
        <v>398</v>
      </c>
      <c r="B803" s="709" t="s">
        <v>667</v>
      </c>
      <c r="C803" s="709" t="s">
        <v>853</v>
      </c>
      <c r="D803" s="709" t="s">
        <v>854</v>
      </c>
      <c r="E803" s="709" t="s">
        <v>855</v>
      </c>
      <c r="F803" s="709" t="s">
        <v>856</v>
      </c>
      <c r="G803" s="709" t="s">
        <v>1348</v>
      </c>
      <c r="H803" s="709">
        <v>5025</v>
      </c>
      <c r="I803" s="709" t="s">
        <v>840</v>
      </c>
      <c r="J803" s="709">
        <v>63300130</v>
      </c>
      <c r="K803" s="709" t="s">
        <v>1367</v>
      </c>
      <c r="L803" s="712">
        <v>477.48178032653823</v>
      </c>
      <c r="M803" s="712">
        <v>504.55664729999984</v>
      </c>
      <c r="N803" s="712">
        <v>478.30459306638335</v>
      </c>
      <c r="O803" s="712">
        <v>478.30459306638335</v>
      </c>
      <c r="P803" s="712">
        <v>483.38673082243258</v>
      </c>
    </row>
    <row r="804" spans="1:16" hidden="1">
      <c r="A804" s="709" t="s">
        <v>398</v>
      </c>
      <c r="B804" s="709" t="s">
        <v>667</v>
      </c>
      <c r="C804" s="709" t="s">
        <v>857</v>
      </c>
      <c r="D804" s="709" t="s">
        <v>858</v>
      </c>
      <c r="E804" s="709" t="s">
        <v>859</v>
      </c>
      <c r="F804" s="709" t="s">
        <v>860</v>
      </c>
      <c r="G804" s="709" t="s">
        <v>1348</v>
      </c>
      <c r="H804" s="709">
        <v>5025</v>
      </c>
      <c r="I804" s="709" t="s">
        <v>840</v>
      </c>
      <c r="J804" s="709">
        <v>63300130</v>
      </c>
      <c r="K804" s="709" t="s">
        <v>1367</v>
      </c>
      <c r="L804" s="712">
        <v>4880.8904125641093</v>
      </c>
      <c r="M804" s="712">
        <v>5157.6537658000034</v>
      </c>
      <c r="N804" s="712">
        <v>7976.506945019778</v>
      </c>
      <c r="O804" s="712">
        <v>7976.506945019778</v>
      </c>
      <c r="P804" s="712">
        <v>8061.2598570643577</v>
      </c>
    </row>
    <row r="805" spans="1:16" hidden="1">
      <c r="A805" s="709" t="s">
        <v>398</v>
      </c>
      <c r="B805" s="709" t="s">
        <v>667</v>
      </c>
      <c r="C805" s="709" t="s">
        <v>861</v>
      </c>
      <c r="D805" s="709" t="s">
        <v>862</v>
      </c>
      <c r="E805" s="709" t="s">
        <v>863</v>
      </c>
      <c r="F805" s="709" t="s">
        <v>864</v>
      </c>
      <c r="G805" s="709" t="s">
        <v>1348</v>
      </c>
      <c r="H805" s="709">
        <v>5025</v>
      </c>
      <c r="I805" s="709" t="s">
        <v>840</v>
      </c>
      <c r="J805" s="709">
        <v>63300130</v>
      </c>
      <c r="K805" s="709" t="s">
        <v>1367</v>
      </c>
      <c r="L805" s="712">
        <v>52945.723475726525</v>
      </c>
      <c r="M805" s="712">
        <v>55947.928960799996</v>
      </c>
      <c r="N805" s="712">
        <v>25035.7249886235</v>
      </c>
      <c r="O805" s="712">
        <v>25035.7249886235</v>
      </c>
      <c r="P805" s="712">
        <v>25301.73749416741</v>
      </c>
    </row>
    <row r="806" spans="1:16" hidden="1">
      <c r="A806" s="709" t="s">
        <v>398</v>
      </c>
      <c r="B806" s="709" t="s">
        <v>667</v>
      </c>
      <c r="C806" s="709" t="s">
        <v>865</v>
      </c>
      <c r="D806" s="709" t="s">
        <v>866</v>
      </c>
      <c r="E806" s="709" t="s">
        <v>867</v>
      </c>
      <c r="F806" s="709" t="s">
        <v>868</v>
      </c>
      <c r="G806" s="709" t="s">
        <v>1348</v>
      </c>
      <c r="H806" s="709">
        <v>5025</v>
      </c>
      <c r="I806" s="709" t="s">
        <v>840</v>
      </c>
      <c r="J806" s="709">
        <v>63300130</v>
      </c>
      <c r="K806" s="709" t="s">
        <v>1367</v>
      </c>
      <c r="L806" s="712">
        <v>421.72118800261813</v>
      </c>
      <c r="M806" s="712">
        <v>445.63423669999992</v>
      </c>
      <c r="N806" s="712">
        <v>541.20539899646064</v>
      </c>
      <c r="O806" s="712">
        <v>541.20539899646064</v>
      </c>
      <c r="P806" s="712">
        <v>546.95587773300053</v>
      </c>
    </row>
    <row r="807" spans="1:16" hidden="1">
      <c r="A807" s="709" t="s">
        <v>398</v>
      </c>
      <c r="B807" s="709" t="s">
        <v>667</v>
      </c>
      <c r="C807" s="709" t="s">
        <v>869</v>
      </c>
      <c r="D807" s="709" t="s">
        <v>870</v>
      </c>
      <c r="E807" s="709" t="s">
        <v>871</v>
      </c>
      <c r="F807" s="709" t="s">
        <v>872</v>
      </c>
      <c r="G807" s="709" t="s">
        <v>1348</v>
      </c>
      <c r="H807" s="709">
        <v>5025</v>
      </c>
      <c r="I807" s="709" t="s">
        <v>840</v>
      </c>
      <c r="J807" s="709">
        <v>63300130</v>
      </c>
      <c r="K807" s="709" t="s">
        <v>1367</v>
      </c>
      <c r="L807" s="712">
        <v>211.285406419195</v>
      </c>
      <c r="M807" s="712">
        <v>223.26601909999999</v>
      </c>
      <c r="N807" s="712">
        <v>248.25599698708805</v>
      </c>
      <c r="O807" s="712">
        <v>248.25599698708805</v>
      </c>
      <c r="P807" s="712">
        <v>250.89379556511386</v>
      </c>
    </row>
    <row r="808" spans="1:16" hidden="1">
      <c r="A808" s="709" t="s">
        <v>399</v>
      </c>
      <c r="B808" s="709" t="s">
        <v>668</v>
      </c>
      <c r="C808" s="709" t="s">
        <v>879</v>
      </c>
      <c r="D808" s="709" t="s">
        <v>880</v>
      </c>
      <c r="E808" s="709" t="s">
        <v>881</v>
      </c>
      <c r="F808" s="709" t="s">
        <v>882</v>
      </c>
      <c r="G808" s="709" t="s">
        <v>1348</v>
      </c>
      <c r="H808" s="709">
        <v>5021</v>
      </c>
      <c r="I808" s="709" t="s">
        <v>883</v>
      </c>
      <c r="J808" s="709">
        <v>63300130</v>
      </c>
      <c r="K808" s="709" t="s">
        <v>1367</v>
      </c>
      <c r="L808" s="712">
        <v>1915.4047689553909</v>
      </c>
      <c r="M808" s="712">
        <v>2024.0148384000004</v>
      </c>
      <c r="N808" s="712">
        <v>6435.578240033683</v>
      </c>
      <c r="O808" s="712">
        <v>6435.578240033683</v>
      </c>
      <c r="P808" s="712">
        <v>6503.9582966540984</v>
      </c>
    </row>
    <row r="809" spans="1:16" hidden="1">
      <c r="A809" s="709" t="s">
        <v>399</v>
      </c>
      <c r="B809" s="709" t="s">
        <v>668</v>
      </c>
      <c r="C809" s="709" t="s">
        <v>884</v>
      </c>
      <c r="D809" s="709" t="s">
        <v>885</v>
      </c>
      <c r="E809" s="709" t="s">
        <v>886</v>
      </c>
      <c r="F809" s="709" t="s">
        <v>887</v>
      </c>
      <c r="G809" s="709" t="s">
        <v>1348</v>
      </c>
      <c r="H809" s="709">
        <v>5021</v>
      </c>
      <c r="I809" s="709" t="s">
        <v>883</v>
      </c>
      <c r="J809" s="709">
        <v>63300130</v>
      </c>
      <c r="K809" s="709" t="s">
        <v>1367</v>
      </c>
      <c r="L809" s="712">
        <v>6429.8240270864981</v>
      </c>
      <c r="M809" s="712">
        <v>6794.4172688999979</v>
      </c>
      <c r="N809" s="712">
        <v>9598.9862116870645</v>
      </c>
      <c r="O809" s="712">
        <v>9598.9862116870645</v>
      </c>
      <c r="P809" s="712">
        <v>9700.9784796965832</v>
      </c>
    </row>
    <row r="810" spans="1:16" hidden="1">
      <c r="A810" s="709" t="s">
        <v>399</v>
      </c>
      <c r="B810" s="709" t="s">
        <v>668</v>
      </c>
      <c r="C810" s="709" t="s">
        <v>888</v>
      </c>
      <c r="D810" s="709" t="s">
        <v>889</v>
      </c>
      <c r="E810" s="709" t="s">
        <v>890</v>
      </c>
      <c r="F810" s="709" t="s">
        <v>891</v>
      </c>
      <c r="G810" s="709" t="s">
        <v>1348</v>
      </c>
      <c r="H810" s="709">
        <v>5021</v>
      </c>
      <c r="I810" s="709" t="s">
        <v>883</v>
      </c>
      <c r="J810" s="709">
        <v>63300130</v>
      </c>
      <c r="K810" s="709" t="s">
        <v>1367</v>
      </c>
      <c r="L810" s="712">
        <v>4070.2348001617061</v>
      </c>
      <c r="M810" s="712">
        <v>4301.0311788000035</v>
      </c>
      <c r="N810" s="712">
        <v>4963.1187451288652</v>
      </c>
      <c r="O810" s="712">
        <v>4963.1187451288652</v>
      </c>
      <c r="P810" s="712">
        <v>5015.8534533629427</v>
      </c>
    </row>
    <row r="811" spans="1:16" hidden="1">
      <c r="A811" s="709" t="s">
        <v>399</v>
      </c>
      <c r="B811" s="709" t="s">
        <v>668</v>
      </c>
      <c r="C811" s="709" t="s">
        <v>892</v>
      </c>
      <c r="D811" s="709" t="s">
        <v>893</v>
      </c>
      <c r="E811" s="709" t="s">
        <v>894</v>
      </c>
      <c r="F811" s="709" t="s">
        <v>895</v>
      </c>
      <c r="G811" s="709" t="s">
        <v>1348</v>
      </c>
      <c r="H811" s="709">
        <v>5021</v>
      </c>
      <c r="I811" s="709" t="s">
        <v>883</v>
      </c>
      <c r="J811" s="709">
        <v>63300130</v>
      </c>
      <c r="K811" s="709" t="s">
        <v>1367</v>
      </c>
      <c r="L811" s="712">
        <v>60370.581151977713</v>
      </c>
      <c r="M811" s="712">
        <v>63793.801725300014</v>
      </c>
      <c r="N811" s="712">
        <v>96771.402194584531</v>
      </c>
      <c r="O811" s="712">
        <v>96771.402194584531</v>
      </c>
      <c r="P811" s="712">
        <v>97799.628985479401</v>
      </c>
    </row>
    <row r="812" spans="1:16" hidden="1">
      <c r="A812" s="709" t="s">
        <v>399</v>
      </c>
      <c r="B812" s="709" t="s">
        <v>668</v>
      </c>
      <c r="C812" s="709" t="s">
        <v>896</v>
      </c>
      <c r="D812" s="709" t="s">
        <v>897</v>
      </c>
      <c r="E812" s="709" t="s">
        <v>898</v>
      </c>
      <c r="F812" s="709" t="s">
        <v>899</v>
      </c>
      <c r="G812" s="709" t="s">
        <v>1348</v>
      </c>
      <c r="H812" s="709">
        <v>5021</v>
      </c>
      <c r="I812" s="709" t="s">
        <v>883</v>
      </c>
      <c r="J812" s="709">
        <v>63300130</v>
      </c>
      <c r="K812" s="709" t="s">
        <v>1367</v>
      </c>
      <c r="L812" s="712">
        <v>25617.997117296407</v>
      </c>
      <c r="M812" s="712">
        <v>27070.6260817</v>
      </c>
      <c r="N812" s="712">
        <v>14110.099005334359</v>
      </c>
      <c r="O812" s="712">
        <v>14110.099005334359</v>
      </c>
      <c r="P812" s="712">
        <v>14260.023275216186</v>
      </c>
    </row>
    <row r="813" spans="1:16" hidden="1">
      <c r="A813" s="709" t="s">
        <v>399</v>
      </c>
      <c r="B813" s="709" t="s">
        <v>668</v>
      </c>
      <c r="C813" s="709" t="s">
        <v>900</v>
      </c>
      <c r="D813" s="709" t="s">
        <v>901</v>
      </c>
      <c r="E813" s="709" t="s">
        <v>902</v>
      </c>
      <c r="F813" s="709" t="s">
        <v>903</v>
      </c>
      <c r="G813" s="709" t="s">
        <v>1348</v>
      </c>
      <c r="H813" s="709">
        <v>5021</v>
      </c>
      <c r="I813" s="709" t="s">
        <v>883</v>
      </c>
      <c r="J813" s="709">
        <v>63300130</v>
      </c>
      <c r="K813" s="709" t="s">
        <v>1367</v>
      </c>
      <c r="L813" s="712">
        <v>472.71349451005023</v>
      </c>
      <c r="M813" s="712">
        <v>499.5179832</v>
      </c>
      <c r="N813" s="712">
        <v>7093.7225351435527</v>
      </c>
      <c r="O813" s="712">
        <v>7093.7225351435527</v>
      </c>
      <c r="P813" s="712">
        <v>7169.095583300309</v>
      </c>
    </row>
    <row r="814" spans="1:16" hidden="1">
      <c r="A814" s="709" t="s">
        <v>407</v>
      </c>
      <c r="B814" s="709" t="s">
        <v>669</v>
      </c>
      <c r="C814" s="709" t="s">
        <v>904</v>
      </c>
      <c r="D814" s="709" t="s">
        <v>905</v>
      </c>
      <c r="E814" s="709" t="s">
        <v>906</v>
      </c>
      <c r="F814" s="709" t="s">
        <v>907</v>
      </c>
      <c r="G814" s="709" t="s">
        <v>1348</v>
      </c>
      <c r="H814" s="709">
        <v>5020</v>
      </c>
      <c r="I814" s="709" t="s">
        <v>908</v>
      </c>
      <c r="J814" s="709">
        <v>63300130</v>
      </c>
      <c r="K814" s="709" t="s">
        <v>1367</v>
      </c>
      <c r="L814" s="712">
        <v>16358.375659437021</v>
      </c>
      <c r="M814" s="712">
        <v>17285.952088800001</v>
      </c>
      <c r="N814" s="712">
        <v>22914.344949784667</v>
      </c>
      <c r="O814" s="712">
        <v>22914.344949784667</v>
      </c>
      <c r="P814" s="712">
        <v>23157.817120682834</v>
      </c>
    </row>
    <row r="815" spans="1:16" hidden="1">
      <c r="A815" s="709" t="s">
        <v>405</v>
      </c>
      <c r="B815" s="709" t="s">
        <v>669</v>
      </c>
      <c r="C815" s="709" t="s">
        <v>909</v>
      </c>
      <c r="D815" s="709" t="s">
        <v>910</v>
      </c>
      <c r="E815" s="709" t="s">
        <v>911</v>
      </c>
      <c r="F815" s="709" t="s">
        <v>912</v>
      </c>
      <c r="G815" s="709" t="s">
        <v>1348</v>
      </c>
      <c r="H815" s="709">
        <v>5020</v>
      </c>
      <c r="I815" s="709" t="s">
        <v>908</v>
      </c>
      <c r="J815" s="709">
        <v>63300130</v>
      </c>
      <c r="K815" s="709" t="s">
        <v>1367</v>
      </c>
      <c r="L815" s="712">
        <v>3480.9723724227001</v>
      </c>
      <c r="M815" s="712">
        <v>3678.3555350999995</v>
      </c>
      <c r="N815" s="712">
        <v>5520.8692221676374</v>
      </c>
      <c r="O815" s="712">
        <v>5520.8692221676374</v>
      </c>
      <c r="P815" s="712">
        <v>5579.5302058314383</v>
      </c>
    </row>
    <row r="816" spans="1:16" hidden="1">
      <c r="A816" s="709" t="s">
        <v>287</v>
      </c>
      <c r="B816" s="709" t="s">
        <v>670</v>
      </c>
      <c r="C816" s="709" t="s">
        <v>917</v>
      </c>
      <c r="D816" s="709" t="s">
        <v>918</v>
      </c>
      <c r="E816" s="709" t="s">
        <v>919</v>
      </c>
      <c r="F816" s="709" t="s">
        <v>920</v>
      </c>
      <c r="G816" s="709" t="s">
        <v>1348</v>
      </c>
      <c r="H816" s="709">
        <v>5019</v>
      </c>
      <c r="I816" s="709" t="s">
        <v>921</v>
      </c>
      <c r="J816" s="709">
        <v>63300130</v>
      </c>
      <c r="K816" s="709" t="s">
        <v>1367</v>
      </c>
      <c r="L816" s="712">
        <v>1495.0613312498506</v>
      </c>
      <c r="M816" s="712">
        <v>1579.8364752000005</v>
      </c>
      <c r="N816" s="712">
        <v>22035.507779293661</v>
      </c>
      <c r="O816" s="712">
        <v>22035.507779293661</v>
      </c>
      <c r="P816" s="712">
        <v>22269.64202697236</v>
      </c>
    </row>
    <row r="817" spans="1:16" hidden="1">
      <c r="A817" s="709" t="s">
        <v>287</v>
      </c>
      <c r="B817" s="709" t="s">
        <v>670</v>
      </c>
      <c r="C817" s="709" t="s">
        <v>922</v>
      </c>
      <c r="D817" s="709" t="s">
        <v>923</v>
      </c>
      <c r="E817" s="709" t="s">
        <v>924</v>
      </c>
      <c r="F817" s="709" t="s">
        <v>925</v>
      </c>
      <c r="G817" s="709" t="s">
        <v>1348</v>
      </c>
      <c r="H817" s="709">
        <v>5019</v>
      </c>
      <c r="I817" s="709" t="s">
        <v>921</v>
      </c>
      <c r="J817" s="709">
        <v>63300130</v>
      </c>
      <c r="K817" s="709" t="s">
        <v>1367</v>
      </c>
      <c r="L817" s="712">
        <v>1796.3761883988066</v>
      </c>
      <c r="M817" s="712">
        <v>1898.2369259999989</v>
      </c>
      <c r="N817" s="712">
        <v>2831.6610285921024</v>
      </c>
      <c r="O817" s="712">
        <v>2831.6610285921024</v>
      </c>
      <c r="P817" s="712">
        <v>2861.7483236638095</v>
      </c>
    </row>
    <row r="818" spans="1:16" hidden="1">
      <c r="A818" s="709" t="s">
        <v>287</v>
      </c>
      <c r="B818" s="709" t="s">
        <v>670</v>
      </c>
      <c r="C818" s="709" t="s">
        <v>926</v>
      </c>
      <c r="D818" s="709" t="s">
        <v>927</v>
      </c>
      <c r="E818" s="709" t="s">
        <v>928</v>
      </c>
      <c r="F818" s="709" t="s">
        <v>929</v>
      </c>
      <c r="G818" s="709" t="s">
        <v>1348</v>
      </c>
      <c r="H818" s="709">
        <v>5019</v>
      </c>
      <c r="I818" s="709" t="s">
        <v>921</v>
      </c>
      <c r="J818" s="709">
        <v>63300130</v>
      </c>
      <c r="K818" s="709" t="s">
        <v>1367</v>
      </c>
      <c r="L818" s="712">
        <v>2177.351362684748</v>
      </c>
      <c r="M818" s="712">
        <v>2300.8147091999999</v>
      </c>
      <c r="N818" s="712">
        <v>366.93153218063327</v>
      </c>
      <c r="O818" s="712">
        <v>366.93153218063327</v>
      </c>
      <c r="P818" s="712">
        <v>370.83029589859188</v>
      </c>
    </row>
    <row r="819" spans="1:16" hidden="1">
      <c r="A819" s="709" t="s">
        <v>287</v>
      </c>
      <c r="B819" s="709" t="s">
        <v>670</v>
      </c>
      <c r="C819" s="709" t="s">
        <v>930</v>
      </c>
      <c r="D819" s="709" t="s">
        <v>931</v>
      </c>
      <c r="E819" s="709" t="s">
        <v>932</v>
      </c>
      <c r="F819" s="709" t="s">
        <v>933</v>
      </c>
      <c r="G819" s="709" t="s">
        <v>1348</v>
      </c>
      <c r="H819" s="709">
        <v>5019</v>
      </c>
      <c r="I819" s="709" t="s">
        <v>921</v>
      </c>
      <c r="J819" s="709">
        <v>63300130</v>
      </c>
      <c r="K819" s="709" t="s">
        <v>1367</v>
      </c>
      <c r="L819" s="712">
        <v>3695.89756082547</v>
      </c>
      <c r="M819" s="712">
        <v>3905.4677244000009</v>
      </c>
      <c r="N819" s="712">
        <v>7475.4451102468829</v>
      </c>
      <c r="O819" s="712">
        <v>7475.4451102468829</v>
      </c>
      <c r="P819" s="712">
        <v>7554.8740816362215</v>
      </c>
    </row>
    <row r="820" spans="1:16" hidden="1">
      <c r="A820" s="709" t="s">
        <v>287</v>
      </c>
      <c r="B820" s="709" t="s">
        <v>670</v>
      </c>
      <c r="C820" s="709" t="s">
        <v>934</v>
      </c>
      <c r="D820" s="709" t="s">
        <v>935</v>
      </c>
      <c r="E820" s="709" t="s">
        <v>936</v>
      </c>
      <c r="F820" s="709" t="s">
        <v>937</v>
      </c>
      <c r="G820" s="709" t="s">
        <v>1348</v>
      </c>
      <c r="H820" s="709">
        <v>5019</v>
      </c>
      <c r="I820" s="709" t="s">
        <v>921</v>
      </c>
      <c r="J820" s="709">
        <v>63300130</v>
      </c>
      <c r="K820" s="709" t="s">
        <v>1367</v>
      </c>
      <c r="L820" s="712">
        <v>53803.951642500113</v>
      </c>
      <c r="M820" s="712">
        <v>56854.821630400016</v>
      </c>
      <c r="N820" s="712">
        <v>18305.381299816443</v>
      </c>
      <c r="O820" s="712">
        <v>18305.381299816443</v>
      </c>
      <c r="P820" s="712">
        <v>18499.881772509507</v>
      </c>
    </row>
    <row r="821" spans="1:16" hidden="1">
      <c r="A821" s="709" t="s">
        <v>287</v>
      </c>
      <c r="B821" s="709" t="s">
        <v>670</v>
      </c>
      <c r="C821" s="709" t="s">
        <v>938</v>
      </c>
      <c r="D821" s="709" t="s">
        <v>939</v>
      </c>
      <c r="E821" s="709" t="s">
        <v>940</v>
      </c>
      <c r="F821" s="709" t="s">
        <v>941</v>
      </c>
      <c r="G821" s="709" t="s">
        <v>1348</v>
      </c>
      <c r="H821" s="709">
        <v>5019</v>
      </c>
      <c r="I821" s="709" t="s">
        <v>921</v>
      </c>
      <c r="J821" s="709">
        <v>63300130</v>
      </c>
      <c r="K821" s="709" t="s">
        <v>1367</v>
      </c>
      <c r="L821" s="712">
        <v>1622.4374578965908</v>
      </c>
      <c r="M821" s="712">
        <v>1714.4352684</v>
      </c>
      <c r="N821" s="712">
        <v>2330.5168851746339</v>
      </c>
      <c r="O821" s="712">
        <v>2330.5168851746339</v>
      </c>
      <c r="P821" s="712">
        <v>2355.2793650356884</v>
      </c>
    </row>
    <row r="822" spans="1:16" hidden="1">
      <c r="A822" s="709" t="s">
        <v>287</v>
      </c>
      <c r="B822" s="709" t="s">
        <v>670</v>
      </c>
      <c r="C822" s="709" t="s">
        <v>942</v>
      </c>
      <c r="D822" s="709" t="s">
        <v>943</v>
      </c>
      <c r="E822" s="709" t="s">
        <v>944</v>
      </c>
      <c r="F822" s="709" t="s">
        <v>945</v>
      </c>
      <c r="G822" s="709" t="s">
        <v>1348</v>
      </c>
      <c r="H822" s="709">
        <v>5019</v>
      </c>
      <c r="I822" s="709" t="s">
        <v>921</v>
      </c>
      <c r="J822" s="709">
        <v>63300130</v>
      </c>
      <c r="K822" s="709" t="s">
        <v>1367</v>
      </c>
      <c r="L822" s="712">
        <v>14507.434972276011</v>
      </c>
      <c r="M822" s="712">
        <v>15330.056668399997</v>
      </c>
      <c r="N822" s="712">
        <v>18640.632320530887</v>
      </c>
      <c r="O822" s="712">
        <v>18640.632320530887</v>
      </c>
      <c r="P822" s="712">
        <v>18838.694941475973</v>
      </c>
    </row>
    <row r="823" spans="1:16" hidden="1">
      <c r="A823" s="709" t="s">
        <v>287</v>
      </c>
      <c r="B823" s="709" t="s">
        <v>670</v>
      </c>
      <c r="C823" s="709" t="s">
        <v>946</v>
      </c>
      <c r="D823" s="709" t="s">
        <v>947</v>
      </c>
      <c r="E823" s="709" t="s">
        <v>948</v>
      </c>
      <c r="F823" s="709" t="s">
        <v>949</v>
      </c>
      <c r="G823" s="709" t="s">
        <v>1348</v>
      </c>
      <c r="H823" s="709">
        <v>5019</v>
      </c>
      <c r="I823" s="709" t="s">
        <v>921</v>
      </c>
      <c r="J823" s="709">
        <v>63300130</v>
      </c>
      <c r="K823" s="709" t="s">
        <v>1367</v>
      </c>
      <c r="L823" s="712">
        <v>103.68376956662138</v>
      </c>
      <c r="M823" s="712">
        <v>109.5629976</v>
      </c>
      <c r="N823" s="712">
        <v>63.420149798421647</v>
      </c>
      <c r="O823" s="712">
        <v>63.420149798421647</v>
      </c>
      <c r="P823" s="712">
        <v>64.094008971963234</v>
      </c>
    </row>
    <row r="824" spans="1:16" hidden="1">
      <c r="A824" s="709" t="s">
        <v>403</v>
      </c>
      <c r="B824" s="709" t="s">
        <v>671</v>
      </c>
      <c r="C824" s="709" t="s">
        <v>950</v>
      </c>
      <c r="D824" s="709" t="s">
        <v>951</v>
      </c>
      <c r="E824" s="709" t="s">
        <v>952</v>
      </c>
      <c r="F824" s="709" t="s">
        <v>953</v>
      </c>
      <c r="G824" s="709" t="s">
        <v>1348</v>
      </c>
      <c r="H824" s="709">
        <v>5017</v>
      </c>
      <c r="I824" s="709" t="s">
        <v>954</v>
      </c>
      <c r="J824" s="709">
        <v>63300130</v>
      </c>
      <c r="K824" s="709" t="s">
        <v>1367</v>
      </c>
      <c r="L824" s="712">
        <v>2395.7870537550602</v>
      </c>
      <c r="M824" s="712">
        <v>2531.6364588000019</v>
      </c>
      <c r="N824" s="712">
        <v>3379.693404179754</v>
      </c>
      <c r="O824" s="712">
        <v>3379.693404179754</v>
      </c>
      <c r="P824" s="712">
        <v>3415.6037167760383</v>
      </c>
    </row>
    <row r="825" spans="1:16" hidden="1">
      <c r="A825" s="709" t="s">
        <v>403</v>
      </c>
      <c r="B825" s="709" t="s">
        <v>671</v>
      </c>
      <c r="C825" s="709" t="s">
        <v>955</v>
      </c>
      <c r="D825" s="709" t="s">
        <v>956</v>
      </c>
      <c r="E825" s="709" t="s">
        <v>957</v>
      </c>
      <c r="F825" s="709" t="s">
        <v>958</v>
      </c>
      <c r="G825" s="709" t="s">
        <v>1348</v>
      </c>
      <c r="H825" s="709">
        <v>5017</v>
      </c>
      <c r="I825" s="709" t="s">
        <v>954</v>
      </c>
      <c r="J825" s="709">
        <v>63300130</v>
      </c>
      <c r="K825" s="709" t="s">
        <v>1367</v>
      </c>
      <c r="L825" s="712">
        <v>38.362871798819825</v>
      </c>
      <c r="M825" s="712">
        <v>40.538179200000009</v>
      </c>
      <c r="N825" s="712">
        <v>175.62481705344138</v>
      </c>
      <c r="O825" s="712">
        <v>175.62481705344138</v>
      </c>
      <c r="P825" s="712">
        <v>177.49088634607443</v>
      </c>
    </row>
    <row r="826" spans="1:16" hidden="1">
      <c r="A826" s="709" t="s">
        <v>403</v>
      </c>
      <c r="B826" s="709" t="s">
        <v>671</v>
      </c>
      <c r="C826" s="709" t="s">
        <v>959</v>
      </c>
      <c r="D826" s="709" t="s">
        <v>960</v>
      </c>
      <c r="E826" s="709" t="s">
        <v>961</v>
      </c>
      <c r="F826" s="709" t="s">
        <v>962</v>
      </c>
      <c r="G826" s="709" t="s">
        <v>1348</v>
      </c>
      <c r="H826" s="709">
        <v>5017</v>
      </c>
      <c r="I826" s="709" t="s">
        <v>954</v>
      </c>
      <c r="J826" s="709">
        <v>63300130</v>
      </c>
      <c r="K826" s="709" t="s">
        <v>1367</v>
      </c>
      <c r="L826" s="712">
        <v>719.16593431018509</v>
      </c>
      <c r="M826" s="712">
        <v>759.94512799999984</v>
      </c>
      <c r="N826" s="712">
        <v>2533.259708393442</v>
      </c>
      <c r="O826" s="712">
        <v>2533.259708393442</v>
      </c>
      <c r="P826" s="712">
        <v>2560.1763949495289</v>
      </c>
    </row>
    <row r="827" spans="1:16" hidden="1">
      <c r="A827" s="709" t="s">
        <v>403</v>
      </c>
      <c r="B827" s="709" t="s">
        <v>671</v>
      </c>
      <c r="C827" s="709" t="s">
        <v>963</v>
      </c>
      <c r="D827" s="709" t="s">
        <v>964</v>
      </c>
      <c r="E827" s="709" t="s">
        <v>965</v>
      </c>
      <c r="F827" s="709" t="s">
        <v>966</v>
      </c>
      <c r="G827" s="709" t="s">
        <v>1348</v>
      </c>
      <c r="H827" s="709">
        <v>5017</v>
      </c>
      <c r="I827" s="709" t="s">
        <v>954</v>
      </c>
      <c r="J827" s="709">
        <v>63300130</v>
      </c>
      <c r="K827" s="709" t="s">
        <v>1367</v>
      </c>
      <c r="L827" s="712">
        <v>2497.4781484717396</v>
      </c>
      <c r="M827" s="712">
        <v>2639.0937900000017</v>
      </c>
      <c r="N827" s="712">
        <v>6819.1196027236037</v>
      </c>
      <c r="O827" s="712">
        <v>6819.1196027236037</v>
      </c>
      <c r="P827" s="712">
        <v>6891.5749077706269</v>
      </c>
    </row>
    <row r="828" spans="1:16" hidden="1">
      <c r="A828" s="709" t="s">
        <v>403</v>
      </c>
      <c r="B828" s="709" t="s">
        <v>671</v>
      </c>
      <c r="C828" s="709" t="s">
        <v>967</v>
      </c>
      <c r="D828" s="709" t="s">
        <v>968</v>
      </c>
      <c r="E828" s="709" t="s">
        <v>969</v>
      </c>
      <c r="F828" s="709" t="s">
        <v>970</v>
      </c>
      <c r="G828" s="709" t="s">
        <v>1348</v>
      </c>
      <c r="H828" s="709">
        <v>5017</v>
      </c>
      <c r="I828" s="709" t="s">
        <v>954</v>
      </c>
      <c r="J828" s="709">
        <v>63300130</v>
      </c>
      <c r="K828" s="709" t="s">
        <v>1367</v>
      </c>
      <c r="L828" s="712">
        <v>2285.8472123790698</v>
      </c>
      <c r="M828" s="712">
        <v>2415.4626484999976</v>
      </c>
      <c r="N828" s="712">
        <v>1090.6303830230831</v>
      </c>
      <c r="O828" s="712">
        <v>1090.6303830230831</v>
      </c>
      <c r="P828" s="712">
        <v>1102.2186761898326</v>
      </c>
    </row>
    <row r="829" spans="1:16" hidden="1">
      <c r="A829" s="709" t="s">
        <v>403</v>
      </c>
      <c r="B829" s="709" t="s">
        <v>671</v>
      </c>
      <c r="C829" s="709" t="s">
        <v>971</v>
      </c>
      <c r="D829" s="709" t="s">
        <v>972</v>
      </c>
      <c r="E829" s="709" t="s">
        <v>973</v>
      </c>
      <c r="F829" s="709" t="s">
        <v>974</v>
      </c>
      <c r="G829" s="709" t="s">
        <v>1348</v>
      </c>
      <c r="H829" s="709">
        <v>5017</v>
      </c>
      <c r="I829" s="709" t="s">
        <v>954</v>
      </c>
      <c r="J829" s="709">
        <v>63300130</v>
      </c>
      <c r="K829" s="709" t="s">
        <v>1367</v>
      </c>
      <c r="L829" s="712">
        <v>60925.834874713873</v>
      </c>
      <c r="M829" s="712">
        <v>64380.540252899969</v>
      </c>
      <c r="N829" s="712">
        <v>4968.8085790524474</v>
      </c>
      <c r="O829" s="712">
        <v>4968.8085790524474</v>
      </c>
      <c r="P829" s="712">
        <v>5021.6037435736444</v>
      </c>
    </row>
    <row r="830" spans="1:16" hidden="1">
      <c r="A830" s="709" t="s">
        <v>403</v>
      </c>
      <c r="B830" s="709" t="s">
        <v>671</v>
      </c>
      <c r="C830" s="709" t="s">
        <v>975</v>
      </c>
      <c r="D830" s="709" t="s">
        <v>976</v>
      </c>
      <c r="E830" s="709" t="s">
        <v>977</v>
      </c>
      <c r="F830" s="709" t="s">
        <v>978</v>
      </c>
      <c r="G830" s="709" t="s">
        <v>1348</v>
      </c>
      <c r="H830" s="709">
        <v>5017</v>
      </c>
      <c r="I830" s="709" t="s">
        <v>954</v>
      </c>
      <c r="J830" s="709">
        <v>63300130</v>
      </c>
      <c r="K830" s="709" t="s">
        <v>1367</v>
      </c>
      <c r="L830" s="712">
        <v>652.5298709748663</v>
      </c>
      <c r="M830" s="712">
        <v>689.53056960000004</v>
      </c>
      <c r="N830" s="712">
        <v>522.07314555428582</v>
      </c>
      <c r="O830" s="712">
        <v>522.07314555428582</v>
      </c>
      <c r="P830" s="712">
        <v>527.6203380397917</v>
      </c>
    </row>
    <row r="831" spans="1:16" hidden="1">
      <c r="A831" s="709" t="s">
        <v>403</v>
      </c>
      <c r="B831" s="709" t="s">
        <v>671</v>
      </c>
      <c r="C831" s="709" t="s">
        <v>979</v>
      </c>
      <c r="D831" s="709" t="s">
        <v>980</v>
      </c>
      <c r="E831" s="709" t="s">
        <v>981</v>
      </c>
      <c r="F831" s="709" t="s">
        <v>982</v>
      </c>
      <c r="G831" s="709" t="s">
        <v>1348</v>
      </c>
      <c r="H831" s="709">
        <v>5017</v>
      </c>
      <c r="I831" s="709" t="s">
        <v>954</v>
      </c>
      <c r="J831" s="709">
        <v>63300130</v>
      </c>
      <c r="K831" s="709" t="s">
        <v>1367</v>
      </c>
      <c r="L831" s="712">
        <v>9708.088042830117</v>
      </c>
      <c r="M831" s="712">
        <v>10258.570183</v>
      </c>
      <c r="N831" s="712">
        <v>30904.170862370462</v>
      </c>
      <c r="O831" s="712">
        <v>30904.170862370462</v>
      </c>
      <c r="P831" s="712">
        <v>31232.537463561035</v>
      </c>
    </row>
    <row r="832" spans="1:16" hidden="1">
      <c r="A832" s="709" t="s">
        <v>403</v>
      </c>
      <c r="B832" s="709" t="s">
        <v>671</v>
      </c>
      <c r="C832" s="709" t="s">
        <v>983</v>
      </c>
      <c r="D832" s="709" t="s">
        <v>984</v>
      </c>
      <c r="E832" s="709" t="s">
        <v>985</v>
      </c>
      <c r="F832" s="709" t="s">
        <v>986</v>
      </c>
      <c r="G832" s="709" t="s">
        <v>1348</v>
      </c>
      <c r="H832" s="709">
        <v>5017</v>
      </c>
      <c r="I832" s="709" t="s">
        <v>954</v>
      </c>
      <c r="J832" s="709">
        <v>63300130</v>
      </c>
      <c r="K832" s="709" t="s">
        <v>1367</v>
      </c>
      <c r="L832" s="712">
        <v>115.34782567775945</v>
      </c>
      <c r="M832" s="712">
        <v>121.88844600000003</v>
      </c>
      <c r="N832" s="712">
        <v>247.51959983334288</v>
      </c>
      <c r="O832" s="712">
        <v>247.51959983334288</v>
      </c>
      <c r="P832" s="712">
        <v>250.14957395843066</v>
      </c>
    </row>
    <row r="833" spans="11:19">
      <c r="R833" s="717" t="s">
        <v>1371</v>
      </c>
    </row>
    <row r="834" spans="11:19">
      <c r="K834" s="709" t="s">
        <v>1368</v>
      </c>
      <c r="L834" s="712">
        <f>SUBTOTAL(9,L13:L212,L678:L753)</f>
        <v>6061441.6601943811</v>
      </c>
      <c r="M834" s="712">
        <f t="shared" ref="M834:P834" si="0">SUBTOTAL(9,M13:M212,M678:M753)</f>
        <v>6405146.3487898894</v>
      </c>
      <c r="N834" s="712">
        <f t="shared" si="0"/>
        <v>6597300.7392535843</v>
      </c>
      <c r="O834" s="712">
        <f t="shared" si="0"/>
        <v>6795219.7614311939</v>
      </c>
      <c r="P834" s="712">
        <f t="shared" si="0"/>
        <v>6867421.1230966207</v>
      </c>
      <c r="R834" s="716">
        <f>+'B&amp;T O&amp;M TY'!D9</f>
        <v>6193563.1699999999</v>
      </c>
    </row>
    <row r="835" spans="11:19">
      <c r="K835" s="709" t="s">
        <v>1369</v>
      </c>
      <c r="L835" s="712">
        <f>SUBTOTAL(9,L602:L677)</f>
        <v>1834383.660321984</v>
      </c>
      <c r="M835" s="712">
        <f t="shared" ref="M835:P835" si="1">SUBTOTAL(9,M602:M677)</f>
        <v>1938399.5529232565</v>
      </c>
      <c r="N835" s="712">
        <f t="shared" si="1"/>
        <v>1996551.5395109535</v>
      </c>
      <c r="O835" s="712">
        <f t="shared" si="1"/>
        <v>2056448.0856962809</v>
      </c>
      <c r="P835" s="712">
        <f t="shared" si="1"/>
        <v>2078298.4977792408</v>
      </c>
      <c r="R835" s="716">
        <f>+'B&amp;T O&amp;M TY'!C9</f>
        <v>1538642.3900000001</v>
      </c>
      <c r="S835"/>
    </row>
    <row r="836" spans="11:19">
      <c r="K836" s="709" t="s">
        <v>1370</v>
      </c>
      <c r="L836" s="713">
        <f>+L834+L835</f>
        <v>7895825.3205163646</v>
      </c>
      <c r="M836" s="724">
        <f t="shared" ref="M836:R836" si="2">+M834+M835</f>
        <v>8343545.9017131459</v>
      </c>
      <c r="N836" s="724">
        <f t="shared" si="2"/>
        <v>8593852.2787645385</v>
      </c>
      <c r="O836" s="724">
        <f t="shared" si="2"/>
        <v>8851667.8471274748</v>
      </c>
      <c r="P836" s="713">
        <f t="shared" si="2"/>
        <v>8945719.6208758615</v>
      </c>
      <c r="R836" s="713">
        <f t="shared" si="2"/>
        <v>7732205.5600000005</v>
      </c>
      <c r="S836"/>
    </row>
    <row r="837" spans="11:19">
      <c r="L837" s="715">
        <f>SUBTOTAL(9,L13:L753)-L836</f>
        <v>0</v>
      </c>
      <c r="M837" s="715">
        <f t="shared" ref="M837:P837" si="3">SUBTOTAL(9,M13:M753)-M836</f>
        <v>0</v>
      </c>
      <c r="N837" s="715">
        <f t="shared" si="3"/>
        <v>0</v>
      </c>
      <c r="O837" s="715">
        <f t="shared" si="3"/>
        <v>0</v>
      </c>
      <c r="P837" s="715">
        <f t="shared" si="3"/>
        <v>0</v>
      </c>
    </row>
    <row r="838" spans="11:19">
      <c r="L838" s="714" t="s">
        <v>314</v>
      </c>
      <c r="M838" s="715">
        <f>SUBTOTAL(9,'Power Cost Bridge to A-1'!M27:N27)+M836</f>
        <v>0</v>
      </c>
      <c r="N838" s="715">
        <f>SUBTOTAL(9,'Power Cost Bridge to A-1'!R27:S27)+N836</f>
        <v>0</v>
      </c>
      <c r="O838" s="715" t="e">
        <f>SUBTOTAL(9,'Power Cost Bridge to A-1'!#REF!)+O836</f>
        <v>#REF!</v>
      </c>
      <c r="P838" s="712"/>
    </row>
    <row r="839" spans="11:19">
      <c r="L839" s="719"/>
      <c r="M839" s="719"/>
      <c r="N839" s="719"/>
      <c r="O839" s="719"/>
      <c r="P839" s="719"/>
    </row>
    <row r="840" spans="11:19">
      <c r="L840" s="712"/>
      <c r="M840" s="712"/>
      <c r="N840" s="712"/>
      <c r="O840" s="712"/>
      <c r="P840" s="712"/>
    </row>
  </sheetData>
  <autoFilter ref="A2:T832">
    <filterColumn colId="10">
      <filters>
        <filter val="Benefits OH"/>
        <filter val="Payroll Taxes OH"/>
      </filters>
    </filterColumn>
  </autoFilter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5" zoomScaleNormal="85" workbookViewId="0">
      <pane xSplit="1" ySplit="2" topLeftCell="B3" activePane="bottomRight" state="frozen"/>
      <selection activeCell="M26" sqref="M26"/>
      <selection pane="topRight" activeCell="M26" sqref="M26"/>
      <selection pane="bottomLeft" activeCell="M26" sqref="M26"/>
      <selection pane="bottomRight" activeCell="M26" sqref="M26"/>
    </sheetView>
  </sheetViews>
  <sheetFormatPr defaultColWidth="9.28515625" defaultRowHeight="15"/>
  <cols>
    <col min="1" max="1" width="11.42578125" style="7" customWidth="1"/>
    <col min="2" max="12" width="17.28515625" style="7" bestFit="1" customWidth="1"/>
    <col min="13" max="13" width="12.85546875" style="7" bestFit="1" customWidth="1"/>
    <col min="14" max="14" width="9.28515625" style="7"/>
    <col min="15" max="15" width="20.28515625" style="7" bestFit="1" customWidth="1"/>
    <col min="16" max="16384" width="9.28515625" style="7"/>
  </cols>
  <sheetData>
    <row r="1" spans="1:15" ht="18">
      <c r="A1" s="12" t="s">
        <v>391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10" t="s">
        <v>390</v>
      </c>
      <c r="B2" s="10" t="s">
        <v>389</v>
      </c>
      <c r="C2" s="10" t="s">
        <v>388</v>
      </c>
      <c r="D2" s="10" t="s">
        <v>387</v>
      </c>
      <c r="E2" s="10" t="s">
        <v>386</v>
      </c>
      <c r="F2" s="10" t="s">
        <v>385</v>
      </c>
      <c r="G2" s="10" t="s">
        <v>384</v>
      </c>
      <c r="H2" s="10" t="s">
        <v>383</v>
      </c>
      <c r="I2" s="10" t="s">
        <v>382</v>
      </c>
      <c r="J2" s="10" t="s">
        <v>381</v>
      </c>
      <c r="K2" s="10" t="s">
        <v>380</v>
      </c>
      <c r="L2" s="10" t="s">
        <v>379</v>
      </c>
      <c r="M2" s="21">
        <v>41998</v>
      </c>
      <c r="N2" s="9"/>
      <c r="O2" s="10" t="s">
        <v>378</v>
      </c>
    </row>
    <row r="3" spans="1:15">
      <c r="A3" s="9" t="s">
        <v>162</v>
      </c>
      <c r="B3" s="22">
        <f>180*31*24</f>
        <v>133920</v>
      </c>
      <c r="C3" s="22">
        <f>280*31*24</f>
        <v>208320</v>
      </c>
      <c r="D3" s="22">
        <f t="shared" ref="D3:L4" si="0">380*31*24</f>
        <v>282720</v>
      </c>
      <c r="E3" s="22">
        <f t="shared" si="0"/>
        <v>282720</v>
      </c>
      <c r="F3" s="22">
        <f t="shared" si="0"/>
        <v>282720</v>
      </c>
      <c r="G3" s="22">
        <f t="shared" si="0"/>
        <v>282720</v>
      </c>
      <c r="H3" s="22">
        <f t="shared" si="0"/>
        <v>282720</v>
      </c>
      <c r="I3" s="22">
        <f t="shared" si="0"/>
        <v>282720</v>
      </c>
      <c r="J3" s="22">
        <f t="shared" si="0"/>
        <v>282720</v>
      </c>
      <c r="K3" s="22">
        <f t="shared" si="0"/>
        <v>282720</v>
      </c>
      <c r="L3" s="22">
        <f t="shared" si="0"/>
        <v>282720</v>
      </c>
      <c r="M3" s="22">
        <f>300*31*24</f>
        <v>223200</v>
      </c>
      <c r="N3" s="22"/>
      <c r="O3" s="9"/>
    </row>
    <row r="4" spans="1:15">
      <c r="A4" s="9" t="s">
        <v>151</v>
      </c>
      <c r="B4" s="22">
        <f>180*31*24</f>
        <v>133920</v>
      </c>
      <c r="C4" s="22">
        <f>280*31*24</f>
        <v>208320</v>
      </c>
      <c r="D4" s="22">
        <f t="shared" si="0"/>
        <v>282720</v>
      </c>
      <c r="E4" s="22">
        <f t="shared" si="0"/>
        <v>282720</v>
      </c>
      <c r="F4" s="22">
        <f t="shared" si="0"/>
        <v>282720</v>
      </c>
      <c r="G4" s="22">
        <f t="shared" si="0"/>
        <v>282720</v>
      </c>
      <c r="H4" s="22">
        <f t="shared" si="0"/>
        <v>282720</v>
      </c>
      <c r="I4" s="22">
        <f t="shared" si="0"/>
        <v>282720</v>
      </c>
      <c r="J4" s="22">
        <f t="shared" si="0"/>
        <v>282720</v>
      </c>
      <c r="K4" s="22">
        <f t="shared" si="0"/>
        <v>282720</v>
      </c>
      <c r="L4" s="22">
        <f>300*31*24</f>
        <v>223200</v>
      </c>
      <c r="M4" s="22"/>
      <c r="N4" s="22"/>
      <c r="O4" s="9"/>
    </row>
    <row r="5" spans="1:15">
      <c r="A5" s="9" t="s">
        <v>152</v>
      </c>
      <c r="B5" s="22">
        <f>180*28*24</f>
        <v>120960</v>
      </c>
      <c r="C5" s="22">
        <f>280*29*24</f>
        <v>194880</v>
      </c>
      <c r="D5" s="22">
        <f>380*28*24</f>
        <v>255360</v>
      </c>
      <c r="E5" s="22">
        <f>380*28*24</f>
        <v>255360</v>
      </c>
      <c r="F5" s="22">
        <f>380*28*24</f>
        <v>255360</v>
      </c>
      <c r="G5" s="22">
        <f>380*29*24</f>
        <v>264480</v>
      </c>
      <c r="H5" s="22">
        <f>380*28*24</f>
        <v>255360</v>
      </c>
      <c r="I5" s="22">
        <f>380*28*24</f>
        <v>255360</v>
      </c>
      <c r="J5" s="22">
        <f>380*28*24</f>
        <v>255360</v>
      </c>
      <c r="K5" s="22">
        <f>380*29*24</f>
        <v>264480</v>
      </c>
      <c r="L5" s="22">
        <f>300*28*24</f>
        <v>201600</v>
      </c>
      <c r="M5" s="22"/>
      <c r="N5" s="22"/>
      <c r="O5" s="9"/>
    </row>
    <row r="6" spans="1:15">
      <c r="A6" s="9" t="s">
        <v>153</v>
      </c>
      <c r="B6" s="22">
        <f>180*31*24</f>
        <v>133920</v>
      </c>
      <c r="C6" s="22">
        <f>280*31*24</f>
        <v>208320</v>
      </c>
      <c r="D6" s="22">
        <f t="shared" ref="D6:K6" si="1">380*31*24</f>
        <v>282720</v>
      </c>
      <c r="E6" s="22">
        <f t="shared" si="1"/>
        <v>282720</v>
      </c>
      <c r="F6" s="22">
        <f t="shared" si="1"/>
        <v>282720</v>
      </c>
      <c r="G6" s="22">
        <f t="shared" si="1"/>
        <v>282720</v>
      </c>
      <c r="H6" s="22">
        <f t="shared" si="1"/>
        <v>282720</v>
      </c>
      <c r="I6" s="22">
        <f t="shared" si="1"/>
        <v>282720</v>
      </c>
      <c r="J6" s="22">
        <f t="shared" si="1"/>
        <v>282720</v>
      </c>
      <c r="K6" s="22">
        <f t="shared" si="1"/>
        <v>282720</v>
      </c>
      <c r="L6" s="22">
        <f>300*31*24</f>
        <v>223200</v>
      </c>
      <c r="M6" s="22"/>
      <c r="N6" s="22"/>
      <c r="O6" s="9"/>
    </row>
    <row r="7" spans="1:15">
      <c r="A7" s="9" t="s">
        <v>154</v>
      </c>
      <c r="B7" s="22">
        <f>180*30*24</f>
        <v>129600</v>
      </c>
      <c r="C7" s="22">
        <f>280*30*24</f>
        <v>201600</v>
      </c>
      <c r="D7" s="22">
        <f t="shared" ref="D7:K7" si="2">380*30*24</f>
        <v>273600</v>
      </c>
      <c r="E7" s="22">
        <f t="shared" si="2"/>
        <v>273600</v>
      </c>
      <c r="F7" s="22">
        <f t="shared" si="2"/>
        <v>273600</v>
      </c>
      <c r="G7" s="22">
        <f t="shared" si="2"/>
        <v>273600</v>
      </c>
      <c r="H7" s="22">
        <f t="shared" si="2"/>
        <v>273600</v>
      </c>
      <c r="I7" s="22">
        <f t="shared" si="2"/>
        <v>273600</v>
      </c>
      <c r="J7" s="22">
        <f t="shared" si="2"/>
        <v>273600</v>
      </c>
      <c r="K7" s="22">
        <f t="shared" si="2"/>
        <v>273600</v>
      </c>
      <c r="L7" s="22">
        <f>300*30*24</f>
        <v>216000</v>
      </c>
      <c r="M7" s="22"/>
      <c r="N7" s="22"/>
      <c r="O7" s="9"/>
    </row>
    <row r="8" spans="1:15">
      <c r="A8" s="9" t="s">
        <v>155</v>
      </c>
      <c r="B8" s="22">
        <f>180*31*24</f>
        <v>133920</v>
      </c>
      <c r="C8" s="22">
        <f>280*31*24</f>
        <v>208320</v>
      </c>
      <c r="D8" s="22">
        <f t="shared" ref="D8:K8" si="3">380*31*24</f>
        <v>282720</v>
      </c>
      <c r="E8" s="22">
        <f t="shared" si="3"/>
        <v>282720</v>
      </c>
      <c r="F8" s="22">
        <f t="shared" si="3"/>
        <v>282720</v>
      </c>
      <c r="G8" s="22">
        <f t="shared" si="3"/>
        <v>282720</v>
      </c>
      <c r="H8" s="22">
        <f t="shared" si="3"/>
        <v>282720</v>
      </c>
      <c r="I8" s="22">
        <f t="shared" si="3"/>
        <v>282720</v>
      </c>
      <c r="J8" s="22">
        <f t="shared" si="3"/>
        <v>282720</v>
      </c>
      <c r="K8" s="22">
        <f t="shared" si="3"/>
        <v>282720</v>
      </c>
      <c r="L8" s="22">
        <f>300*31*24</f>
        <v>223200</v>
      </c>
      <c r="M8" s="22"/>
      <c r="N8" s="22"/>
      <c r="O8" s="9"/>
    </row>
    <row r="9" spans="1:15">
      <c r="A9" s="9" t="s">
        <v>156</v>
      </c>
      <c r="B9" s="22">
        <f>180*30*24</f>
        <v>129600</v>
      </c>
      <c r="C9" s="22">
        <f>280*30*24</f>
        <v>201600</v>
      </c>
      <c r="D9" s="22">
        <f t="shared" ref="D9:K9" si="4">380*30*24</f>
        <v>273600</v>
      </c>
      <c r="E9" s="22">
        <f t="shared" si="4"/>
        <v>273600</v>
      </c>
      <c r="F9" s="22">
        <f t="shared" si="4"/>
        <v>273600</v>
      </c>
      <c r="G9" s="22">
        <f t="shared" si="4"/>
        <v>273600</v>
      </c>
      <c r="H9" s="22">
        <f t="shared" si="4"/>
        <v>273600</v>
      </c>
      <c r="I9" s="22">
        <f t="shared" si="4"/>
        <v>273600</v>
      </c>
      <c r="J9" s="22">
        <f t="shared" si="4"/>
        <v>273600</v>
      </c>
      <c r="K9" s="22">
        <f t="shared" si="4"/>
        <v>273600</v>
      </c>
      <c r="L9" s="22">
        <f>300*30*24</f>
        <v>216000</v>
      </c>
      <c r="M9" s="22"/>
      <c r="N9" s="22"/>
      <c r="O9" s="9"/>
    </row>
    <row r="10" spans="1:15">
      <c r="A10" s="9" t="s">
        <v>157</v>
      </c>
      <c r="B10" s="22">
        <f>180*31*24</f>
        <v>133920</v>
      </c>
      <c r="C10" s="22">
        <f>280*31*24</f>
        <v>208320</v>
      </c>
      <c r="D10" s="22">
        <f t="shared" ref="D10:K11" si="5">380*31*24</f>
        <v>282720</v>
      </c>
      <c r="E10" s="22">
        <f t="shared" si="5"/>
        <v>282720</v>
      </c>
      <c r="F10" s="22">
        <f t="shared" si="5"/>
        <v>282720</v>
      </c>
      <c r="G10" s="22">
        <f t="shared" si="5"/>
        <v>282720</v>
      </c>
      <c r="H10" s="22">
        <f t="shared" si="5"/>
        <v>282720</v>
      </c>
      <c r="I10" s="22">
        <f t="shared" si="5"/>
        <v>282720</v>
      </c>
      <c r="J10" s="22">
        <f t="shared" si="5"/>
        <v>282720</v>
      </c>
      <c r="K10" s="22">
        <f t="shared" si="5"/>
        <v>282720</v>
      </c>
      <c r="L10" s="22">
        <f>300*31*24</f>
        <v>223200</v>
      </c>
      <c r="M10" s="22"/>
      <c r="N10" s="22"/>
      <c r="O10" s="9"/>
    </row>
    <row r="11" spans="1:15">
      <c r="A11" s="9" t="s">
        <v>158</v>
      </c>
      <c r="B11" s="22">
        <f>180*31*24</f>
        <v>133920</v>
      </c>
      <c r="C11" s="22">
        <f>280*31*24</f>
        <v>208320</v>
      </c>
      <c r="D11" s="22">
        <f t="shared" si="5"/>
        <v>282720</v>
      </c>
      <c r="E11" s="22">
        <f t="shared" si="5"/>
        <v>282720</v>
      </c>
      <c r="F11" s="22">
        <f t="shared" si="5"/>
        <v>282720</v>
      </c>
      <c r="G11" s="22">
        <f t="shared" si="5"/>
        <v>282720</v>
      </c>
      <c r="H11" s="22">
        <f t="shared" si="5"/>
        <v>282720</v>
      </c>
      <c r="I11" s="22">
        <f t="shared" si="5"/>
        <v>282720</v>
      </c>
      <c r="J11" s="22">
        <f t="shared" si="5"/>
        <v>282720</v>
      </c>
      <c r="K11" s="22">
        <f t="shared" si="5"/>
        <v>282720</v>
      </c>
      <c r="L11" s="22">
        <f>300*31*24</f>
        <v>223200</v>
      </c>
      <c r="M11" s="22"/>
      <c r="N11" s="22"/>
      <c r="O11" s="9"/>
    </row>
    <row r="12" spans="1:15">
      <c r="A12" s="9" t="s">
        <v>159</v>
      </c>
      <c r="B12" s="22">
        <f>180*30*24</f>
        <v>129600</v>
      </c>
      <c r="C12" s="22">
        <f>280*30*24</f>
        <v>201600</v>
      </c>
      <c r="D12" s="22">
        <f t="shared" ref="D12:K12" si="6">380*30*24</f>
        <v>273600</v>
      </c>
      <c r="E12" s="22">
        <f t="shared" si="6"/>
        <v>273600</v>
      </c>
      <c r="F12" s="22">
        <f t="shared" si="6"/>
        <v>273600</v>
      </c>
      <c r="G12" s="22">
        <f t="shared" si="6"/>
        <v>273600</v>
      </c>
      <c r="H12" s="22">
        <f t="shared" si="6"/>
        <v>273600</v>
      </c>
      <c r="I12" s="22">
        <f t="shared" si="6"/>
        <v>273600</v>
      </c>
      <c r="J12" s="22">
        <f t="shared" si="6"/>
        <v>273600</v>
      </c>
      <c r="K12" s="22">
        <f t="shared" si="6"/>
        <v>273600</v>
      </c>
      <c r="L12" s="22">
        <f>300*30*24</f>
        <v>216000</v>
      </c>
      <c r="M12" s="22"/>
      <c r="N12" s="22"/>
      <c r="O12" s="9"/>
    </row>
    <row r="13" spans="1:15">
      <c r="A13" s="9" t="s">
        <v>160</v>
      </c>
      <c r="B13" s="22">
        <f>180*31*24</f>
        <v>133920</v>
      </c>
      <c r="C13" s="22">
        <f>280*31*24</f>
        <v>208320</v>
      </c>
      <c r="D13" s="22">
        <f t="shared" ref="D13:K13" si="7">380*31*24</f>
        <v>282720</v>
      </c>
      <c r="E13" s="22">
        <f t="shared" si="7"/>
        <v>282720</v>
      </c>
      <c r="F13" s="22">
        <f t="shared" si="7"/>
        <v>282720</v>
      </c>
      <c r="G13" s="22">
        <f t="shared" si="7"/>
        <v>282720</v>
      </c>
      <c r="H13" s="22">
        <f t="shared" si="7"/>
        <v>282720</v>
      </c>
      <c r="I13" s="22">
        <f t="shared" si="7"/>
        <v>282720</v>
      </c>
      <c r="J13" s="22">
        <f t="shared" si="7"/>
        <v>282720</v>
      </c>
      <c r="K13" s="22">
        <f t="shared" si="7"/>
        <v>282720</v>
      </c>
      <c r="L13" s="22">
        <f>300*31*24</f>
        <v>223200</v>
      </c>
      <c r="M13" s="22"/>
      <c r="N13" s="22"/>
      <c r="O13" s="9"/>
    </row>
    <row r="14" spans="1:15">
      <c r="A14" s="9" t="s">
        <v>161</v>
      </c>
      <c r="B14" s="22">
        <f>180*30*24</f>
        <v>129600</v>
      </c>
      <c r="C14" s="22">
        <f>280*30*24</f>
        <v>201600</v>
      </c>
      <c r="D14" s="22">
        <f t="shared" ref="D14:K14" si="8">380*30*24</f>
        <v>273600</v>
      </c>
      <c r="E14" s="22">
        <f t="shared" si="8"/>
        <v>273600</v>
      </c>
      <c r="F14" s="22">
        <f t="shared" si="8"/>
        <v>273600</v>
      </c>
      <c r="G14" s="22">
        <f t="shared" si="8"/>
        <v>273600</v>
      </c>
      <c r="H14" s="22">
        <f t="shared" si="8"/>
        <v>273600</v>
      </c>
      <c r="I14" s="22">
        <f t="shared" si="8"/>
        <v>273600</v>
      </c>
      <c r="J14" s="22">
        <f t="shared" si="8"/>
        <v>273600</v>
      </c>
      <c r="K14" s="22">
        <f t="shared" si="8"/>
        <v>273600</v>
      </c>
      <c r="L14" s="22">
        <f>300*30*24</f>
        <v>216000</v>
      </c>
      <c r="M14" s="22"/>
      <c r="N14" s="22"/>
      <c r="O14" s="9"/>
    </row>
    <row r="15" spans="1:15" ht="15.75" thickBot="1">
      <c r="A15" s="9"/>
      <c r="B15" s="23">
        <f t="shared" ref="B15:M15" si="9">SUM(B3:B14)</f>
        <v>1576800</v>
      </c>
      <c r="C15" s="23">
        <f t="shared" si="9"/>
        <v>2459520</v>
      </c>
      <c r="D15" s="23">
        <f t="shared" si="9"/>
        <v>3328800</v>
      </c>
      <c r="E15" s="23">
        <f t="shared" si="9"/>
        <v>3328800</v>
      </c>
      <c r="F15" s="23">
        <f t="shared" si="9"/>
        <v>3328800</v>
      </c>
      <c r="G15" s="23">
        <f t="shared" si="9"/>
        <v>3337920</v>
      </c>
      <c r="H15" s="23">
        <f t="shared" si="9"/>
        <v>3328800</v>
      </c>
      <c r="I15" s="23">
        <f t="shared" si="9"/>
        <v>3328800</v>
      </c>
      <c r="J15" s="23">
        <f t="shared" si="9"/>
        <v>3328800</v>
      </c>
      <c r="K15" s="23">
        <f t="shared" si="9"/>
        <v>3337920</v>
      </c>
      <c r="L15" s="23">
        <f t="shared" si="9"/>
        <v>2687520</v>
      </c>
      <c r="M15" s="23">
        <f t="shared" si="9"/>
        <v>223200</v>
      </c>
      <c r="N15" s="9"/>
      <c r="O15" s="11">
        <f>SUM(B15:M15)</f>
        <v>33595680</v>
      </c>
    </row>
    <row r="16" spans="1:15" ht="15.75" thickTop="1">
      <c r="A16" s="9" t="s">
        <v>258</v>
      </c>
      <c r="B16" s="22">
        <f>+B15/(365*24)</f>
        <v>180</v>
      </c>
      <c r="C16" s="22">
        <f>+C15/(366*24)</f>
        <v>280</v>
      </c>
      <c r="D16" s="22">
        <f>+D15/(365*24)</f>
        <v>380</v>
      </c>
      <c r="E16" s="22">
        <f>+E15/(365*24)</f>
        <v>380</v>
      </c>
      <c r="F16" s="22">
        <f>+F15/(365*24)</f>
        <v>380</v>
      </c>
      <c r="G16" s="22">
        <f>+G15/(366*24)</f>
        <v>380</v>
      </c>
      <c r="H16" s="22">
        <f>+H15/(365*24)</f>
        <v>380</v>
      </c>
      <c r="I16" s="22">
        <f>+I15/(365*24)</f>
        <v>380</v>
      </c>
      <c r="J16" s="22">
        <f>+J15/(365*24)</f>
        <v>380</v>
      </c>
      <c r="K16" s="22">
        <f>+K15/(366*24)</f>
        <v>380</v>
      </c>
      <c r="L16" s="22">
        <f>+L15/(365*24)</f>
        <v>306.79452054794518</v>
      </c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10" t="s">
        <v>458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>
      <c r="A19" s="9" t="s">
        <v>162</v>
      </c>
      <c r="B19" s="24">
        <f t="shared" ref="B19:G30" si="10">+B3*1.49</f>
        <v>199540.8</v>
      </c>
      <c r="C19" s="24">
        <f t="shared" si="10"/>
        <v>310396.79999999999</v>
      </c>
      <c r="D19" s="24">
        <f t="shared" si="10"/>
        <v>421252.8</v>
      </c>
      <c r="E19" s="24">
        <f t="shared" si="10"/>
        <v>421252.8</v>
      </c>
      <c r="F19" s="24">
        <f t="shared" si="10"/>
        <v>421252.8</v>
      </c>
      <c r="G19" s="24">
        <f t="shared" si="10"/>
        <v>421252.8</v>
      </c>
      <c r="H19" s="50">
        <f t="shared" ref="H19:L30" si="11">+H3*1.23</f>
        <v>347745.6</v>
      </c>
      <c r="I19" s="24">
        <f t="shared" si="11"/>
        <v>347745.6</v>
      </c>
      <c r="J19" s="24">
        <f t="shared" si="11"/>
        <v>347745.6</v>
      </c>
      <c r="K19" s="44">
        <f t="shared" si="11"/>
        <v>347745.6</v>
      </c>
      <c r="L19" s="45">
        <f t="shared" si="11"/>
        <v>347745.6</v>
      </c>
      <c r="M19" s="46">
        <f>+M3*1.23</f>
        <v>274536</v>
      </c>
    </row>
    <row r="20" spans="1:15">
      <c r="A20" s="9" t="s">
        <v>151</v>
      </c>
      <c r="B20" s="24">
        <f t="shared" si="10"/>
        <v>199540.8</v>
      </c>
      <c r="C20" s="24">
        <f t="shared" si="10"/>
        <v>310396.79999999999</v>
      </c>
      <c r="D20" s="24">
        <f t="shared" si="10"/>
        <v>421252.8</v>
      </c>
      <c r="E20" s="24">
        <f t="shared" si="10"/>
        <v>421252.8</v>
      </c>
      <c r="F20" s="24">
        <f t="shared" si="10"/>
        <v>421252.8</v>
      </c>
      <c r="G20" s="24">
        <f t="shared" si="10"/>
        <v>421252.8</v>
      </c>
      <c r="H20" s="50">
        <f t="shared" si="11"/>
        <v>347745.6</v>
      </c>
      <c r="I20" s="24">
        <f t="shared" si="11"/>
        <v>347745.6</v>
      </c>
      <c r="J20" s="44">
        <f t="shared" si="11"/>
        <v>347745.6</v>
      </c>
      <c r="K20" s="45">
        <f t="shared" si="11"/>
        <v>347745.6</v>
      </c>
      <c r="L20" s="46">
        <f t="shared" si="11"/>
        <v>274536</v>
      </c>
      <c r="M20" s="24"/>
    </row>
    <row r="21" spans="1:15">
      <c r="A21" s="9" t="s">
        <v>152</v>
      </c>
      <c r="B21" s="24">
        <f t="shared" si="10"/>
        <v>180230.39999999999</v>
      </c>
      <c r="C21" s="24">
        <f t="shared" si="10"/>
        <v>290371.20000000001</v>
      </c>
      <c r="D21" s="24">
        <f t="shared" si="10"/>
        <v>380486.40000000002</v>
      </c>
      <c r="E21" s="24">
        <f t="shared" si="10"/>
        <v>380486.40000000002</v>
      </c>
      <c r="F21" s="24">
        <f t="shared" si="10"/>
        <v>380486.40000000002</v>
      </c>
      <c r="G21" s="24">
        <f t="shared" si="10"/>
        <v>394075.2</v>
      </c>
      <c r="H21" s="50">
        <f t="shared" si="11"/>
        <v>314092.79999999999</v>
      </c>
      <c r="I21" s="24">
        <f t="shared" si="11"/>
        <v>314092.79999999999</v>
      </c>
      <c r="J21" s="44">
        <f t="shared" si="11"/>
        <v>314092.79999999999</v>
      </c>
      <c r="K21" s="45">
        <f t="shared" si="11"/>
        <v>325310.40000000002</v>
      </c>
      <c r="L21" s="46">
        <f t="shared" si="11"/>
        <v>247968</v>
      </c>
      <c r="M21" s="24"/>
    </row>
    <row r="22" spans="1:15">
      <c r="A22" s="9" t="s">
        <v>153</v>
      </c>
      <c r="B22" s="24">
        <f t="shared" si="10"/>
        <v>199540.8</v>
      </c>
      <c r="C22" s="24">
        <f t="shared" si="10"/>
        <v>310396.79999999999</v>
      </c>
      <c r="D22" s="24">
        <f t="shared" si="10"/>
        <v>421252.8</v>
      </c>
      <c r="E22" s="24">
        <f t="shared" si="10"/>
        <v>421252.8</v>
      </c>
      <c r="F22" s="24">
        <f t="shared" si="10"/>
        <v>421252.8</v>
      </c>
      <c r="G22" s="24">
        <f t="shared" si="10"/>
        <v>421252.8</v>
      </c>
      <c r="H22" s="50">
        <f t="shared" si="11"/>
        <v>347745.6</v>
      </c>
      <c r="I22" s="24">
        <f t="shared" si="11"/>
        <v>347745.6</v>
      </c>
      <c r="J22" s="44">
        <f t="shared" si="11"/>
        <v>347745.6</v>
      </c>
      <c r="K22" s="45">
        <f t="shared" si="11"/>
        <v>347745.6</v>
      </c>
      <c r="L22" s="46">
        <f t="shared" si="11"/>
        <v>274536</v>
      </c>
      <c r="M22" s="24"/>
    </row>
    <row r="23" spans="1:15">
      <c r="A23" s="9" t="s">
        <v>154</v>
      </c>
      <c r="B23" s="24">
        <f t="shared" si="10"/>
        <v>193104</v>
      </c>
      <c r="C23" s="24">
        <f t="shared" si="10"/>
        <v>300384</v>
      </c>
      <c r="D23" s="24">
        <f t="shared" si="10"/>
        <v>407664</v>
      </c>
      <c r="E23" s="24">
        <f t="shared" si="10"/>
        <v>407664</v>
      </c>
      <c r="F23" s="24">
        <f t="shared" si="10"/>
        <v>407664</v>
      </c>
      <c r="G23" s="24">
        <f t="shared" si="10"/>
        <v>407664</v>
      </c>
      <c r="H23" s="50">
        <f t="shared" si="11"/>
        <v>336528</v>
      </c>
      <c r="I23" s="24">
        <f t="shared" si="11"/>
        <v>336528</v>
      </c>
      <c r="J23" s="44">
        <f t="shared" si="11"/>
        <v>336528</v>
      </c>
      <c r="K23" s="45">
        <f t="shared" si="11"/>
        <v>336528</v>
      </c>
      <c r="L23" s="46">
        <f t="shared" si="11"/>
        <v>265680</v>
      </c>
      <c r="M23" s="24"/>
    </row>
    <row r="24" spans="1:15">
      <c r="A24" s="9" t="s">
        <v>155</v>
      </c>
      <c r="B24" s="24">
        <f t="shared" si="10"/>
        <v>199540.8</v>
      </c>
      <c r="C24" s="24">
        <f t="shared" si="10"/>
        <v>310396.79999999999</v>
      </c>
      <c r="D24" s="24">
        <f t="shared" si="10"/>
        <v>421252.8</v>
      </c>
      <c r="E24" s="24">
        <f t="shared" si="10"/>
        <v>421252.8</v>
      </c>
      <c r="F24" s="24">
        <f t="shared" si="10"/>
        <v>421252.8</v>
      </c>
      <c r="G24" s="24">
        <f t="shared" ref="G24:G30" si="12">+G8*1.23</f>
        <v>347745.6</v>
      </c>
      <c r="H24" s="50">
        <f t="shared" si="11"/>
        <v>347745.6</v>
      </c>
      <c r="I24" s="24">
        <f t="shared" si="11"/>
        <v>347745.6</v>
      </c>
      <c r="J24" s="44">
        <f t="shared" si="11"/>
        <v>347745.6</v>
      </c>
      <c r="K24" s="45">
        <f t="shared" si="11"/>
        <v>347745.6</v>
      </c>
      <c r="L24" s="46">
        <f t="shared" si="11"/>
        <v>274536</v>
      </c>
      <c r="M24" s="24"/>
    </row>
    <row r="25" spans="1:15">
      <c r="A25" s="9" t="s">
        <v>156</v>
      </c>
      <c r="B25" s="24">
        <f t="shared" si="10"/>
        <v>193104</v>
      </c>
      <c r="C25" s="24">
        <f t="shared" si="10"/>
        <v>300384</v>
      </c>
      <c r="D25" s="24">
        <f t="shared" si="10"/>
        <v>407664</v>
      </c>
      <c r="E25" s="24">
        <f t="shared" si="10"/>
        <v>407664</v>
      </c>
      <c r="F25" s="24">
        <f t="shared" si="10"/>
        <v>407664</v>
      </c>
      <c r="G25" s="24">
        <f t="shared" si="12"/>
        <v>336528</v>
      </c>
      <c r="H25" s="50">
        <f t="shared" si="11"/>
        <v>336528</v>
      </c>
      <c r="I25" s="24">
        <f t="shared" si="11"/>
        <v>336528</v>
      </c>
      <c r="J25" s="44">
        <f t="shared" si="11"/>
        <v>336528</v>
      </c>
      <c r="K25" s="45">
        <f t="shared" si="11"/>
        <v>336528</v>
      </c>
      <c r="L25" s="46">
        <f t="shared" si="11"/>
        <v>265680</v>
      </c>
      <c r="M25" s="24"/>
    </row>
    <row r="26" spans="1:15">
      <c r="A26" s="9" t="s">
        <v>157</v>
      </c>
      <c r="B26" s="24">
        <f t="shared" si="10"/>
        <v>199540.8</v>
      </c>
      <c r="C26" s="24">
        <f t="shared" si="10"/>
        <v>310396.79999999999</v>
      </c>
      <c r="D26" s="24">
        <f t="shared" si="10"/>
        <v>421252.8</v>
      </c>
      <c r="E26" s="24">
        <f t="shared" si="10"/>
        <v>421252.8</v>
      </c>
      <c r="F26" s="24">
        <f t="shared" si="10"/>
        <v>421252.8</v>
      </c>
      <c r="G26" s="50">
        <f t="shared" si="12"/>
        <v>347745.6</v>
      </c>
      <c r="H26" s="24">
        <f t="shared" si="11"/>
        <v>347745.6</v>
      </c>
      <c r="I26" s="24">
        <f t="shared" si="11"/>
        <v>347745.6</v>
      </c>
      <c r="J26" s="44">
        <f t="shared" si="11"/>
        <v>347745.6</v>
      </c>
      <c r="K26" s="45">
        <f t="shared" si="11"/>
        <v>347745.6</v>
      </c>
      <c r="L26" s="46">
        <f t="shared" si="11"/>
        <v>274536</v>
      </c>
      <c r="M26" s="24"/>
    </row>
    <row r="27" spans="1:15">
      <c r="A27" s="9" t="s">
        <v>158</v>
      </c>
      <c r="B27" s="24">
        <f t="shared" si="10"/>
        <v>199540.8</v>
      </c>
      <c r="C27" s="24">
        <f t="shared" si="10"/>
        <v>310396.79999999999</v>
      </c>
      <c r="D27" s="24">
        <f t="shared" si="10"/>
        <v>421252.8</v>
      </c>
      <c r="E27" s="24">
        <f t="shared" si="10"/>
        <v>421252.8</v>
      </c>
      <c r="F27" s="24">
        <f t="shared" si="10"/>
        <v>421252.8</v>
      </c>
      <c r="G27" s="50">
        <f t="shared" si="12"/>
        <v>347745.6</v>
      </c>
      <c r="H27" s="24">
        <f t="shared" si="11"/>
        <v>347745.6</v>
      </c>
      <c r="I27" s="24">
        <f t="shared" si="11"/>
        <v>347745.6</v>
      </c>
      <c r="J27" s="44">
        <f t="shared" si="11"/>
        <v>347745.6</v>
      </c>
      <c r="K27" s="45">
        <f t="shared" si="11"/>
        <v>347745.6</v>
      </c>
      <c r="L27" s="46">
        <f t="shared" si="11"/>
        <v>274536</v>
      </c>
      <c r="M27" s="24"/>
    </row>
    <row r="28" spans="1:15">
      <c r="A28" s="9" t="s">
        <v>159</v>
      </c>
      <c r="B28" s="24">
        <f t="shared" si="10"/>
        <v>193104</v>
      </c>
      <c r="C28" s="24">
        <f t="shared" si="10"/>
        <v>300384</v>
      </c>
      <c r="D28" s="24">
        <f t="shared" si="10"/>
        <v>407664</v>
      </c>
      <c r="E28" s="24">
        <f t="shared" si="10"/>
        <v>407664</v>
      </c>
      <c r="F28" s="24">
        <f t="shared" si="10"/>
        <v>407664</v>
      </c>
      <c r="G28" s="50">
        <f t="shared" si="12"/>
        <v>336528</v>
      </c>
      <c r="H28" s="24">
        <f t="shared" si="11"/>
        <v>336528</v>
      </c>
      <c r="I28" s="24">
        <f t="shared" si="11"/>
        <v>336528</v>
      </c>
      <c r="J28" s="44">
        <f t="shared" si="11"/>
        <v>336528</v>
      </c>
      <c r="K28" s="45">
        <f t="shared" si="11"/>
        <v>336528</v>
      </c>
      <c r="L28" s="46">
        <f t="shared" si="11"/>
        <v>265680</v>
      </c>
      <c r="M28" s="24"/>
    </row>
    <row r="29" spans="1:15">
      <c r="A29" s="9" t="s">
        <v>160</v>
      </c>
      <c r="B29" s="24">
        <f t="shared" si="10"/>
        <v>199540.8</v>
      </c>
      <c r="C29" s="24">
        <f t="shared" si="10"/>
        <v>310396.79999999999</v>
      </c>
      <c r="D29" s="24">
        <f t="shared" si="10"/>
        <v>421252.8</v>
      </c>
      <c r="E29" s="24">
        <f t="shared" si="10"/>
        <v>421252.8</v>
      </c>
      <c r="F29" s="24">
        <f t="shared" si="10"/>
        <v>421252.8</v>
      </c>
      <c r="G29" s="50">
        <f t="shared" si="12"/>
        <v>347745.6</v>
      </c>
      <c r="H29" s="24">
        <f t="shared" si="11"/>
        <v>347745.6</v>
      </c>
      <c r="I29" s="24">
        <f t="shared" si="11"/>
        <v>347745.6</v>
      </c>
      <c r="J29" s="44">
        <f t="shared" si="11"/>
        <v>347745.6</v>
      </c>
      <c r="K29" s="45">
        <f t="shared" si="11"/>
        <v>347745.6</v>
      </c>
      <c r="L29" s="46">
        <f t="shared" si="11"/>
        <v>274536</v>
      </c>
      <c r="M29" s="24"/>
    </row>
    <row r="30" spans="1:15">
      <c r="A30" s="9" t="s">
        <v>161</v>
      </c>
      <c r="B30" s="24">
        <f t="shared" si="10"/>
        <v>193104</v>
      </c>
      <c r="C30" s="24">
        <f t="shared" si="10"/>
        <v>300384</v>
      </c>
      <c r="D30" s="24">
        <f t="shared" si="10"/>
        <v>407664</v>
      </c>
      <c r="E30" s="24">
        <f t="shared" si="10"/>
        <v>407664</v>
      </c>
      <c r="F30" s="24">
        <f t="shared" si="10"/>
        <v>407664</v>
      </c>
      <c r="G30" s="50">
        <f t="shared" si="12"/>
        <v>336528</v>
      </c>
      <c r="H30" s="24">
        <f t="shared" si="11"/>
        <v>336528</v>
      </c>
      <c r="I30" s="24">
        <f t="shared" si="11"/>
        <v>336528</v>
      </c>
      <c r="J30" s="44">
        <f t="shared" si="11"/>
        <v>336528</v>
      </c>
      <c r="K30" s="45">
        <f t="shared" si="11"/>
        <v>336528</v>
      </c>
      <c r="L30" s="46">
        <f t="shared" si="11"/>
        <v>265680</v>
      </c>
      <c r="M30" s="24"/>
    </row>
    <row r="31" spans="1:15" ht="15.75" thickBot="1">
      <c r="A31" s="9"/>
      <c r="B31" s="17">
        <f t="shared" ref="B31:M31" si="13">SUM(B19:B30)</f>
        <v>2349432</v>
      </c>
      <c r="C31" s="17">
        <f t="shared" si="13"/>
        <v>3664684.8</v>
      </c>
      <c r="D31" s="17">
        <f t="shared" si="13"/>
        <v>4959912</v>
      </c>
      <c r="E31" s="17">
        <f t="shared" si="13"/>
        <v>4959912</v>
      </c>
      <c r="F31" s="17">
        <f t="shared" si="13"/>
        <v>4959912</v>
      </c>
      <c r="G31" s="17">
        <f t="shared" si="13"/>
        <v>4466064</v>
      </c>
      <c r="H31" s="17">
        <f t="shared" si="13"/>
        <v>4094424.0000000005</v>
      </c>
      <c r="I31" s="17">
        <f t="shared" si="13"/>
        <v>4094424.0000000005</v>
      </c>
      <c r="J31" s="17">
        <f t="shared" si="13"/>
        <v>4094424.0000000005</v>
      </c>
      <c r="K31" s="17">
        <f t="shared" si="13"/>
        <v>4105641.6</v>
      </c>
      <c r="L31" s="17">
        <f t="shared" si="13"/>
        <v>3305649.6</v>
      </c>
      <c r="M31" s="17">
        <f t="shared" si="13"/>
        <v>274536</v>
      </c>
    </row>
    <row r="32" spans="1:15" ht="15.75" thickTop="1">
      <c r="A32" s="9"/>
      <c r="B32" s="9"/>
      <c r="C32" s="9"/>
      <c r="D32" s="9"/>
      <c r="E32" s="9"/>
      <c r="F32" s="9"/>
      <c r="G32" s="9"/>
      <c r="H32" s="51" t="s">
        <v>465</v>
      </c>
      <c r="I32" s="18">
        <f>SUM(G26:G30,H19:H25)</f>
        <v>4094424</v>
      </c>
      <c r="L32" s="9"/>
      <c r="M32" s="9"/>
    </row>
    <row r="33" spans="1:13">
      <c r="A33" s="9" t="s">
        <v>459</v>
      </c>
      <c r="B33" s="9"/>
      <c r="C33" s="9"/>
      <c r="D33" s="9"/>
      <c r="E33" s="24"/>
      <c r="F33" s="9"/>
      <c r="G33"/>
      <c r="H33" s="49" t="s">
        <v>462</v>
      </c>
      <c r="I33" s="18">
        <f>SUM(J20:J30,K19)</f>
        <v>4094424.0000000005</v>
      </c>
      <c r="L33" s="9"/>
      <c r="M33" s="9"/>
    </row>
    <row r="34" spans="1:13">
      <c r="A34" s="9" t="s">
        <v>460</v>
      </c>
      <c r="B34" s="9"/>
      <c r="C34" s="9"/>
      <c r="D34" s="9"/>
      <c r="E34" s="25"/>
      <c r="F34" s="9"/>
      <c r="G34"/>
      <c r="H34" s="48" t="s">
        <v>463</v>
      </c>
      <c r="I34" s="18">
        <f>SUM(K20:K30,L19)</f>
        <v>4105641.6000000006</v>
      </c>
      <c r="L34" s="9"/>
      <c r="M34" s="9"/>
    </row>
    <row r="35" spans="1:13">
      <c r="A35" s="9" t="s">
        <v>461</v>
      </c>
      <c r="B35" s="9"/>
      <c r="C35" s="9"/>
      <c r="D35" s="9"/>
      <c r="E35" s="9"/>
      <c r="F35" s="9"/>
      <c r="G35"/>
      <c r="H35" s="47" t="s">
        <v>464</v>
      </c>
      <c r="I35" s="18">
        <f>SUM(L20:L30,M19)</f>
        <v>3232440</v>
      </c>
      <c r="L35" s="9"/>
      <c r="M35" s="9"/>
    </row>
    <row r="36" spans="1:13">
      <c r="A36" s="9"/>
      <c r="B36" s="9"/>
      <c r="C36" s="9"/>
      <c r="D36" s="9"/>
      <c r="E36" s="9"/>
      <c r="F36" s="9"/>
      <c r="G36"/>
      <c r="H36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pageMargins left="0.7" right="0.7" top="0.75" bottom="0.75" header="0.3" footer="0.3"/>
  <pageSetup scale="63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pane xSplit="1" ySplit="1" topLeftCell="B2" activePane="bottomRight" state="frozen"/>
      <selection activeCell="M26" sqref="M26"/>
      <selection pane="topRight" activeCell="M26" sqref="M26"/>
      <selection pane="bottomLeft" activeCell="M26" sqref="M26"/>
      <selection pane="bottomRight" activeCell="M26" sqref="M26"/>
    </sheetView>
  </sheetViews>
  <sheetFormatPr defaultRowHeight="15"/>
  <cols>
    <col min="1" max="1" width="58" style="480" customWidth="1"/>
    <col min="2" max="4" width="12.5703125" style="480" bestFit="1" customWidth="1"/>
    <col min="5" max="16384" width="9.140625" style="480"/>
  </cols>
  <sheetData>
    <row r="1" spans="1:4">
      <c r="B1" s="480">
        <v>2023</v>
      </c>
      <c r="C1" s="480">
        <v>2024</v>
      </c>
      <c r="D1" s="480">
        <v>2025</v>
      </c>
    </row>
    <row r="2" spans="1:4">
      <c r="A2" s="480" t="s">
        <v>605</v>
      </c>
      <c r="B2" s="519">
        <v>4966372.7605920909</v>
      </c>
      <c r="C2" s="519">
        <v>5115744.6620968897</v>
      </c>
      <c r="D2" s="519">
        <v>5269217.0019597961</v>
      </c>
    </row>
    <row r="4" spans="1:4">
      <c r="A4" s="518" t="s">
        <v>604</v>
      </c>
      <c r="B4" s="519">
        <v>7898156.1552864453</v>
      </c>
      <c r="C4" s="519">
        <v>8135551.566305032</v>
      </c>
      <c r="D4" s="519">
        <v>8379618.1132941851</v>
      </c>
    </row>
    <row r="5" spans="1:4">
      <c r="A5" s="518" t="s">
        <v>603</v>
      </c>
      <c r="B5" s="517">
        <v>5282509.0551537126</v>
      </c>
      <c r="C5" s="517">
        <v>5455704.4537716927</v>
      </c>
      <c r="D5" s="517">
        <v>5632900.318947766</v>
      </c>
    </row>
    <row r="6" spans="1:4">
      <c r="A6" s="518" t="s">
        <v>602</v>
      </c>
      <c r="B6" s="517">
        <v>3036534.5024999999</v>
      </c>
      <c r="C6" s="517">
        <v>3127630.5375750004</v>
      </c>
      <c r="D6" s="517">
        <v>3221459.4537022505</v>
      </c>
    </row>
    <row r="7" spans="1:4">
      <c r="A7" s="518" t="s">
        <v>601</v>
      </c>
      <c r="B7" s="517">
        <v>12821867.34083442</v>
      </c>
      <c r="C7" s="517">
        <v>13311281.236390302</v>
      </c>
      <c r="D7" s="517">
        <v>13766419.555188295</v>
      </c>
    </row>
    <row r="8" spans="1:4">
      <c r="A8" s="515" t="s">
        <v>600</v>
      </c>
      <c r="B8" s="516">
        <f>SUM(B4:B7)</f>
        <v>29039067.05377458</v>
      </c>
      <c r="C8" s="516">
        <f>SUM(C4:C7)</f>
        <v>30030167.794042028</v>
      </c>
      <c r="D8" s="516">
        <f>SUM(D4:D7)</f>
        <v>31000397.441132497</v>
      </c>
    </row>
    <row r="10" spans="1:4" ht="15.75" thickBot="1">
      <c r="A10" s="515" t="s">
        <v>599</v>
      </c>
      <c r="B10" s="514">
        <f>+B2+B8</f>
        <v>34005439.814366668</v>
      </c>
      <c r="C10" s="514">
        <f>+C2+C8</f>
        <v>35145912.456138916</v>
      </c>
      <c r="D10" s="514">
        <f>+D2+D8</f>
        <v>36269614.443092294</v>
      </c>
    </row>
    <row r="11" spans="1:4" ht="15.75" thickTop="1">
      <c r="A11" s="513" t="s">
        <v>598</v>
      </c>
      <c r="B11" s="512">
        <v>0</v>
      </c>
      <c r="C11" s="512">
        <v>0</v>
      </c>
      <c r="D11" s="512">
        <v>0</v>
      </c>
    </row>
  </sheetData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workbookViewId="0">
      <pane xSplit="2" ySplit="1" topLeftCell="C14" activePane="bottomRight" state="frozen"/>
      <selection activeCell="M26" sqref="M26"/>
      <selection pane="topRight" activeCell="M26" sqref="M26"/>
      <selection pane="bottomLeft" activeCell="M26" sqref="M26"/>
      <selection pane="bottomRight" activeCell="M26" sqref="M26"/>
    </sheetView>
  </sheetViews>
  <sheetFormatPr defaultColWidth="9.140625" defaultRowHeight="15"/>
  <cols>
    <col min="1" max="1" width="53.5703125" style="7" bestFit="1" customWidth="1"/>
    <col min="2" max="2" width="29" style="7" bestFit="1" customWidth="1"/>
    <col min="3" max="3" width="11.7109375" bestFit="1" customWidth="1"/>
    <col min="4" max="4" width="14.7109375" bestFit="1" customWidth="1"/>
    <col min="5" max="5" width="12.5703125" bestFit="1" customWidth="1"/>
    <col min="6" max="13" width="11.5703125" bestFit="1" customWidth="1"/>
    <col min="14" max="14" width="12.42578125" bestFit="1" customWidth="1"/>
    <col min="15" max="15" width="12.5703125" bestFit="1" customWidth="1"/>
    <col min="16" max="16" width="15.5703125" bestFit="1" customWidth="1"/>
    <col min="17" max="17" width="15.28515625" bestFit="1" customWidth="1"/>
    <col min="29" max="16384" width="9.140625" style="7"/>
  </cols>
  <sheetData>
    <row r="1" spans="1:36">
      <c r="A1" s="6" t="s">
        <v>394</v>
      </c>
      <c r="B1" s="37"/>
    </row>
    <row r="2" spans="1:36">
      <c r="A2" s="6"/>
      <c r="B2" s="37"/>
      <c r="AC2" s="8"/>
      <c r="AD2" s="8"/>
      <c r="AE2" s="8"/>
      <c r="AF2" s="8"/>
      <c r="AG2" s="8"/>
      <c r="AH2" s="8"/>
      <c r="AI2" s="8"/>
      <c r="AJ2" s="8"/>
    </row>
    <row r="3" spans="1:36">
      <c r="A3" s="6"/>
      <c r="B3" s="37"/>
      <c r="AC3" s="8"/>
      <c r="AD3" s="8"/>
      <c r="AE3" s="8"/>
      <c r="AF3" s="8"/>
      <c r="AG3" s="8"/>
      <c r="AH3" s="8"/>
      <c r="AI3" s="8"/>
      <c r="AJ3" s="8"/>
    </row>
    <row r="4" spans="1:36">
      <c r="A4" s="37"/>
      <c r="B4" s="37"/>
      <c r="AC4" s="8"/>
      <c r="AD4" s="8"/>
      <c r="AE4" s="8"/>
      <c r="AF4" s="8"/>
      <c r="AG4" s="8"/>
      <c r="AH4" s="8"/>
      <c r="AI4" s="8"/>
      <c r="AJ4" s="8"/>
    </row>
    <row r="5" spans="1:36">
      <c r="A5" s="37"/>
      <c r="B5" s="37"/>
      <c r="AC5" s="8"/>
      <c r="AD5" s="8"/>
      <c r="AE5" s="8"/>
      <c r="AF5" s="8"/>
      <c r="AG5" s="8"/>
      <c r="AH5" s="8"/>
      <c r="AI5" s="8"/>
      <c r="AJ5" s="8"/>
    </row>
    <row r="6" spans="1:36">
      <c r="A6" s="37"/>
      <c r="B6" s="37"/>
      <c r="AC6" s="8"/>
      <c r="AD6" s="8"/>
      <c r="AE6" s="8"/>
      <c r="AF6" s="8"/>
      <c r="AG6" s="8"/>
      <c r="AH6" s="8"/>
      <c r="AI6" s="8"/>
      <c r="AJ6" s="8"/>
    </row>
    <row r="7" spans="1:36">
      <c r="A7" s="37"/>
      <c r="B7" s="37"/>
      <c r="AC7" s="8"/>
      <c r="AD7" s="8"/>
      <c r="AE7" s="8"/>
      <c r="AF7" s="8"/>
      <c r="AG7" s="8"/>
      <c r="AH7" s="8"/>
      <c r="AI7" s="8"/>
      <c r="AJ7" s="8"/>
    </row>
    <row r="8" spans="1:36">
      <c r="A8" s="37" t="s">
        <v>3</v>
      </c>
      <c r="B8" s="37" t="s">
        <v>393</v>
      </c>
      <c r="AC8" s="8"/>
      <c r="AD8" s="8"/>
      <c r="AE8" s="8"/>
      <c r="AF8" s="8"/>
      <c r="AG8" s="8"/>
      <c r="AH8" s="8"/>
      <c r="AI8" s="8"/>
      <c r="AJ8" s="8"/>
    </row>
    <row r="9" spans="1:36">
      <c r="A9" s="37" t="s">
        <v>445</v>
      </c>
      <c r="B9" s="38">
        <v>-111175941.3</v>
      </c>
      <c r="AC9" s="8"/>
      <c r="AD9" s="8"/>
      <c r="AE9" s="8"/>
      <c r="AF9" s="8"/>
      <c r="AG9" s="8"/>
      <c r="AH9" s="8"/>
      <c r="AI9" s="8"/>
      <c r="AJ9" s="8"/>
    </row>
    <row r="10" spans="1:36">
      <c r="A10" s="37" t="s">
        <v>446</v>
      </c>
      <c r="B10" s="38">
        <v>89863945.370000005</v>
      </c>
      <c r="AC10" s="8"/>
      <c r="AD10" s="8"/>
      <c r="AE10" s="8"/>
      <c r="AF10" s="8"/>
      <c r="AG10" s="8"/>
      <c r="AH10" s="8"/>
      <c r="AI10" s="8"/>
      <c r="AJ10" s="8"/>
    </row>
    <row r="11" spans="1:36" ht="15.75" thickBot="1">
      <c r="A11" s="43" t="s">
        <v>457</v>
      </c>
      <c r="B11" s="42">
        <v>-21311995.93</v>
      </c>
      <c r="AC11" s="8"/>
      <c r="AD11" s="8"/>
      <c r="AE11" s="8"/>
      <c r="AF11" s="8"/>
      <c r="AG11" s="8"/>
      <c r="AH11" s="8"/>
      <c r="AI11" s="8"/>
      <c r="AJ11" s="8"/>
    </row>
    <row r="12" spans="1:36" ht="15.75" thickTop="1">
      <c r="AC12" s="8"/>
      <c r="AD12" s="8"/>
      <c r="AE12" s="8"/>
      <c r="AF12" s="8"/>
      <c r="AG12" s="8"/>
      <c r="AH12" s="8"/>
      <c r="AI12" s="8"/>
      <c r="AJ12" s="8"/>
    </row>
    <row r="13" spans="1:36">
      <c r="AC13" s="8"/>
      <c r="AD13" s="8"/>
      <c r="AE13" s="8"/>
      <c r="AF13" s="8"/>
      <c r="AG13" s="8"/>
      <c r="AH13" s="8"/>
      <c r="AI13" s="8"/>
      <c r="AJ13" s="8"/>
    </row>
    <row r="14" spans="1:36">
      <c r="A14" s="43" t="s">
        <v>369</v>
      </c>
      <c r="B14" s="38">
        <v>509160.25</v>
      </c>
      <c r="AC14" s="8"/>
      <c r="AD14" s="8"/>
      <c r="AE14" s="8"/>
      <c r="AF14" s="8"/>
      <c r="AG14" s="8"/>
      <c r="AH14" s="8"/>
      <c r="AI14" s="8"/>
      <c r="AJ14" s="8"/>
    </row>
    <row r="15" spans="1:36">
      <c r="AC15" s="8"/>
      <c r="AD15" s="8"/>
      <c r="AE15" s="8"/>
      <c r="AF15" s="8"/>
      <c r="AG15" s="8"/>
      <c r="AH15" s="8"/>
      <c r="AI15" s="8"/>
      <c r="AJ15" s="8"/>
    </row>
    <row r="16" spans="1:36">
      <c r="A16" s="16" t="s">
        <v>392</v>
      </c>
      <c r="B16" s="38">
        <v>-4679929.3499999996</v>
      </c>
      <c r="AC16" s="8"/>
      <c r="AD16" s="8"/>
      <c r="AE16" s="8"/>
      <c r="AF16" s="8"/>
      <c r="AG16" s="8"/>
      <c r="AH16" s="8"/>
      <c r="AI16" s="8"/>
      <c r="AJ16" s="8"/>
    </row>
    <row r="17" spans="1:36">
      <c r="A17"/>
      <c r="B17"/>
      <c r="AC17" s="8"/>
      <c r="AD17" s="8"/>
      <c r="AE17" s="8"/>
      <c r="AF17" s="8"/>
      <c r="AG17" s="8"/>
      <c r="AH17" s="8"/>
      <c r="AI17" s="8"/>
      <c r="AJ17" s="8"/>
    </row>
    <row r="18" spans="1:36">
      <c r="A18"/>
      <c r="B18"/>
      <c r="AC18" s="8"/>
      <c r="AD18" s="8"/>
      <c r="AE18" s="8"/>
      <c r="AF18" s="8"/>
      <c r="AG18" s="8"/>
      <c r="AH18" s="8"/>
      <c r="AI18" s="8"/>
      <c r="AJ18" s="8"/>
    </row>
    <row r="19" spans="1:36">
      <c r="A19"/>
      <c r="B19"/>
      <c r="AC19" s="8"/>
      <c r="AD19" s="8"/>
      <c r="AE19" s="8"/>
      <c r="AF19" s="8"/>
      <c r="AG19" s="8"/>
      <c r="AH19" s="8"/>
      <c r="AI19" s="8"/>
      <c r="AJ19" s="8"/>
    </row>
    <row r="20" spans="1:36">
      <c r="A20" s="6" t="s">
        <v>413</v>
      </c>
      <c r="B20" s="13"/>
      <c r="C20" s="13"/>
      <c r="D20" s="13"/>
      <c r="E20" s="13"/>
      <c r="AC20" s="8"/>
      <c r="AD20" s="8"/>
      <c r="AE20" s="8"/>
      <c r="AF20" s="8"/>
      <c r="AG20" s="8"/>
      <c r="AH20" s="8"/>
      <c r="AI20" s="8"/>
      <c r="AJ20" s="8"/>
    </row>
    <row r="21" spans="1:36">
      <c r="A21" s="6" t="s">
        <v>412</v>
      </c>
      <c r="B21" s="13"/>
      <c r="C21" s="13"/>
      <c r="D21" s="13"/>
      <c r="E21" s="13"/>
      <c r="AC21" s="8"/>
      <c r="AD21" s="8"/>
      <c r="AE21" s="8"/>
      <c r="AF21" s="8"/>
      <c r="AG21" s="8"/>
      <c r="AH21" s="8"/>
      <c r="AI21" s="8"/>
      <c r="AJ21" s="8"/>
    </row>
    <row r="22" spans="1:36">
      <c r="A22" s="13"/>
      <c r="B22" s="13"/>
      <c r="C22" s="13"/>
      <c r="D22" s="13"/>
      <c r="E22" s="13"/>
      <c r="AC22" s="8"/>
      <c r="AD22" s="8"/>
      <c r="AE22" s="8"/>
      <c r="AF22" s="8"/>
      <c r="AG22" s="8"/>
      <c r="AH22" s="8"/>
      <c r="AI22" s="8"/>
      <c r="AJ22" s="8"/>
    </row>
    <row r="23" spans="1:36">
      <c r="A23" s="13"/>
      <c r="B23" s="13"/>
      <c r="C23" s="13"/>
      <c r="D23" s="13"/>
      <c r="E23" s="13"/>
      <c r="AC23" s="8"/>
      <c r="AD23" s="8"/>
      <c r="AE23" s="8"/>
      <c r="AF23" s="8"/>
      <c r="AG23" s="8"/>
      <c r="AH23" s="8"/>
      <c r="AI23" s="8"/>
      <c r="AJ23" s="8"/>
    </row>
    <row r="24" spans="1:36">
      <c r="A24" s="15" t="s">
        <v>454</v>
      </c>
      <c r="B24" s="15"/>
      <c r="C24" s="15"/>
      <c r="D24" s="15"/>
      <c r="E24" s="15"/>
    </row>
    <row r="25" spans="1:36">
      <c r="A25" s="37" t="s">
        <v>451</v>
      </c>
      <c r="B25" s="37" t="s">
        <v>411</v>
      </c>
      <c r="C25" s="758" t="s">
        <v>1450</v>
      </c>
      <c r="D25" s="754">
        <v>2022</v>
      </c>
      <c r="E25" s="754">
        <v>2023</v>
      </c>
      <c r="F25" s="754">
        <v>2024</v>
      </c>
      <c r="G25" s="754">
        <v>2025</v>
      </c>
    </row>
    <row r="26" spans="1:36">
      <c r="A26" s="37" t="s">
        <v>452</v>
      </c>
      <c r="B26" s="38">
        <v>169259.97</v>
      </c>
      <c r="C26" s="744">
        <f>+B26*1.01</f>
        <v>170952.56969999999</v>
      </c>
      <c r="D26" s="744">
        <f>+C26*1.02</f>
        <v>174371.621094</v>
      </c>
      <c r="E26" s="744">
        <f>+D26*1.02</f>
        <v>177859.05351588002</v>
      </c>
      <c r="F26" s="744">
        <f t="shared" ref="F26:G26" si="0">+E26*1.02</f>
        <v>181416.23458619762</v>
      </c>
      <c r="G26" s="744">
        <f t="shared" si="0"/>
        <v>185044.55927792157</v>
      </c>
    </row>
    <row r="27" spans="1:36">
      <c r="A27" s="37" t="s">
        <v>453</v>
      </c>
      <c r="B27" s="38">
        <v>210104.67</v>
      </c>
      <c r="C27" s="14">
        <f>+B27</f>
        <v>210104.67</v>
      </c>
      <c r="D27" s="744">
        <f t="shared" ref="D27:G27" si="1">+C27</f>
        <v>210104.67</v>
      </c>
      <c r="E27" s="744">
        <f t="shared" si="1"/>
        <v>210104.67</v>
      </c>
      <c r="F27" s="744">
        <f t="shared" si="1"/>
        <v>210104.67</v>
      </c>
      <c r="G27" s="744">
        <f t="shared" si="1"/>
        <v>210104.67</v>
      </c>
    </row>
    <row r="28" spans="1:36">
      <c r="A28" s="37"/>
      <c r="B28" s="38">
        <v>379364.64</v>
      </c>
      <c r="C28" s="14"/>
      <c r="D28" s="14"/>
      <c r="E28" s="14"/>
    </row>
    <row r="29" spans="1:36">
      <c r="A29" s="15" t="s">
        <v>455</v>
      </c>
      <c r="B29" s="14"/>
      <c r="C29" s="14"/>
      <c r="D29" s="14"/>
      <c r="E29" s="14"/>
    </row>
    <row r="30" spans="1:36">
      <c r="A30" s="37" t="s">
        <v>451</v>
      </c>
      <c r="B30" s="37" t="s">
        <v>411</v>
      </c>
      <c r="H30" s="755"/>
    </row>
    <row r="31" spans="1:36">
      <c r="A31" s="37" t="s">
        <v>452</v>
      </c>
      <c r="B31" s="38">
        <v>136711.10999999999</v>
      </c>
      <c r="C31" s="14">
        <f>+B31*1.01</f>
        <v>138078.2211</v>
      </c>
      <c r="D31" s="14">
        <f>+C31*1.02</f>
        <v>140839.78552199999</v>
      </c>
      <c r="E31" s="14">
        <f>+D31*1.02</f>
        <v>143656.58123243999</v>
      </c>
      <c r="F31" s="744">
        <f t="shared" ref="F31:G31" si="2">+E31*1.02</f>
        <v>146529.7128570888</v>
      </c>
      <c r="G31" s="744">
        <f t="shared" si="2"/>
        <v>149460.30711423059</v>
      </c>
    </row>
    <row r="32" spans="1:36">
      <c r="A32" s="37" t="s">
        <v>453</v>
      </c>
      <c r="B32" s="38">
        <v>75492.600000000006</v>
      </c>
      <c r="C32" s="14">
        <f>+B32</f>
        <v>75492.600000000006</v>
      </c>
      <c r="D32" s="744">
        <f t="shared" ref="D32:E32" si="3">+C32</f>
        <v>75492.600000000006</v>
      </c>
      <c r="E32" s="744">
        <f t="shared" si="3"/>
        <v>75492.600000000006</v>
      </c>
      <c r="F32" s="744">
        <f t="shared" ref="F32:G32" si="4">+E32</f>
        <v>75492.600000000006</v>
      </c>
      <c r="G32" s="744">
        <f t="shared" si="4"/>
        <v>75492.600000000006</v>
      </c>
    </row>
    <row r="33" spans="1:7">
      <c r="A33" s="37"/>
      <c r="B33" s="38">
        <v>212203.71</v>
      </c>
      <c r="C33" s="14"/>
      <c r="D33" s="14"/>
      <c r="E33" s="14"/>
    </row>
    <row r="34" spans="1:7" ht="15.75" thickBot="1">
      <c r="A34" s="1" t="s">
        <v>456</v>
      </c>
      <c r="B34" s="42">
        <f>+B28+B33</f>
        <v>591568.35</v>
      </c>
      <c r="C34" s="42">
        <f>SUM(C26:C33)</f>
        <v>594628.06079999998</v>
      </c>
      <c r="D34" s="42">
        <f>SUM(D26:D33)</f>
        <v>600808.6766159999</v>
      </c>
      <c r="E34" s="42">
        <f>SUM(E26:E33)</f>
        <v>607112.90474832</v>
      </c>
      <c r="F34" s="42">
        <f t="shared" ref="F34:G34" si="5">SUM(F26:F33)</f>
        <v>613543.21744328644</v>
      </c>
      <c r="G34" s="42">
        <f t="shared" si="5"/>
        <v>620102.13639215217</v>
      </c>
    </row>
    <row r="35" spans="1:7" ht="15.75" thickTop="1"/>
    <row r="36" spans="1:7">
      <c r="D36" s="756">
        <v>1051443</v>
      </c>
      <c r="E36" s="756">
        <v>1072471</v>
      </c>
      <c r="F36" s="756">
        <v>1093921</v>
      </c>
      <c r="G36" s="759" t="s">
        <v>1451</v>
      </c>
    </row>
    <row r="37" spans="1:7">
      <c r="D37" s="756"/>
      <c r="E37" s="756">
        <f>+E36-D36</f>
        <v>21028</v>
      </c>
      <c r="F37" s="756">
        <f>+F36-E36</f>
        <v>21450</v>
      </c>
      <c r="G37" s="756"/>
    </row>
    <row r="38" spans="1:7">
      <c r="D38" s="756"/>
      <c r="E38" s="757">
        <f>+E37/D36</f>
        <v>1.9999182076441614E-2</v>
      </c>
      <c r="F38" s="757">
        <f>+F37/E36</f>
        <v>2.0000540807164017E-2</v>
      </c>
      <c r="G38" s="759" t="s">
        <v>1451</v>
      </c>
    </row>
    <row r="39" spans="1:7">
      <c r="D39" s="756"/>
      <c r="E39" s="756"/>
      <c r="F39" s="756"/>
      <c r="G39" s="756"/>
    </row>
    <row r="40" spans="1:7">
      <c r="D40" s="756"/>
      <c r="E40" s="756"/>
      <c r="F40" s="756"/>
      <c r="G40" s="756"/>
    </row>
    <row r="41" spans="1:7">
      <c r="D41" s="756"/>
      <c r="E41" s="756"/>
      <c r="F41" s="756"/>
      <c r="G41" s="756"/>
    </row>
    <row r="42" spans="1:7">
      <c r="D42" s="756"/>
      <c r="E42" s="756"/>
      <c r="F42" s="756"/>
      <c r="G42" s="756"/>
    </row>
    <row r="43" spans="1:7">
      <c r="D43" s="756"/>
      <c r="E43" s="756"/>
      <c r="F43" s="756"/>
      <c r="G43" s="756"/>
    </row>
    <row r="44" spans="1:7">
      <c r="D44" s="756"/>
      <c r="E44" s="756"/>
      <c r="F44" s="756"/>
      <c r="G44" s="756"/>
    </row>
    <row r="45" spans="1:7">
      <c r="D45" s="756"/>
      <c r="E45" s="756"/>
      <c r="F45" s="756"/>
      <c r="G45" s="756"/>
    </row>
    <row r="46" spans="1:7">
      <c r="D46" s="756"/>
      <c r="E46" s="756"/>
      <c r="F46" s="756"/>
      <c r="G46" s="756"/>
    </row>
    <row r="47" spans="1:7">
      <c r="D47" s="756"/>
      <c r="E47" s="756"/>
      <c r="F47" s="756"/>
      <c r="G47" s="756"/>
    </row>
    <row r="48" spans="1:7">
      <c r="D48" s="756"/>
      <c r="E48" s="756"/>
      <c r="F48" s="756"/>
      <c r="G48" s="756"/>
    </row>
    <row r="49" spans="4:7">
      <c r="D49" s="756"/>
      <c r="E49" s="756"/>
      <c r="F49" s="756"/>
      <c r="G49" s="756"/>
    </row>
    <row r="50" spans="4:7">
      <c r="D50" s="756"/>
      <c r="E50" s="756"/>
      <c r="F50" s="756"/>
      <c r="G50" s="756"/>
    </row>
    <row r="51" spans="4:7">
      <c r="D51" s="756"/>
      <c r="E51" s="756"/>
      <c r="F51" s="756"/>
      <c r="G51" s="756"/>
    </row>
    <row r="52" spans="4:7">
      <c r="D52" s="756"/>
      <c r="E52" s="756"/>
      <c r="F52" s="756"/>
      <c r="G52" s="756"/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"/>
  <sheetViews>
    <sheetView workbookViewId="0">
      <selection activeCell="M26" sqref="M26"/>
    </sheetView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AI37"/>
  <sheetViews>
    <sheetView zoomScale="80" zoomScaleNormal="80" workbookViewId="0">
      <selection activeCell="M26" sqref="M26"/>
    </sheetView>
  </sheetViews>
  <sheetFormatPr defaultColWidth="9.140625" defaultRowHeight="15" outlineLevelRow="1"/>
  <cols>
    <col min="1" max="1" width="50.85546875" style="574" customWidth="1"/>
    <col min="2" max="2" width="12.140625" style="574" bestFit="1" customWidth="1"/>
    <col min="3" max="5" width="12.7109375" style="574" bestFit="1" customWidth="1"/>
    <col min="6" max="6" width="14.140625" style="574" customWidth="1"/>
    <col min="7" max="7" width="16.42578125" style="574" customWidth="1"/>
    <col min="8" max="9" width="12.140625" style="574" bestFit="1" customWidth="1"/>
    <col min="10" max="10" width="12.5703125" style="574" bestFit="1" customWidth="1"/>
    <col min="11" max="11" width="15.140625" style="574" bestFit="1" customWidth="1"/>
    <col min="12" max="13" width="12.5703125" style="574" bestFit="1" customWidth="1"/>
    <col min="14" max="14" width="15.7109375" style="574" bestFit="1" customWidth="1"/>
    <col min="15" max="15" width="11.5703125" style="574" bestFit="1" customWidth="1"/>
    <col min="16" max="16384" width="9.140625" style="574"/>
  </cols>
  <sheetData>
    <row r="1" spans="1:35" ht="18.75">
      <c r="A1" s="64" t="s">
        <v>57</v>
      </c>
      <c r="B1" s="607" t="s">
        <v>58</v>
      </c>
      <c r="C1" s="607" t="s">
        <v>58</v>
      </c>
      <c r="D1" s="607" t="s">
        <v>58</v>
      </c>
      <c r="E1" s="607" t="s">
        <v>58</v>
      </c>
      <c r="F1" s="607" t="s">
        <v>58</v>
      </c>
      <c r="G1" s="607" t="s">
        <v>58</v>
      </c>
      <c r="H1" s="607" t="s">
        <v>58</v>
      </c>
      <c r="I1" s="607" t="s">
        <v>58</v>
      </c>
      <c r="J1" s="607" t="s">
        <v>58</v>
      </c>
      <c r="K1" s="607" t="s">
        <v>58</v>
      </c>
      <c r="L1" s="607" t="s">
        <v>58</v>
      </c>
      <c r="M1" s="607" t="s">
        <v>58</v>
      </c>
      <c r="N1" s="581"/>
    </row>
    <row r="2" spans="1:35" ht="30">
      <c r="A2" s="60" t="s">
        <v>59</v>
      </c>
      <c r="B2" s="63">
        <v>44197</v>
      </c>
      <c r="C2" s="63">
        <v>44228</v>
      </c>
      <c r="D2" s="63">
        <v>44256</v>
      </c>
      <c r="E2" s="63">
        <v>44287</v>
      </c>
      <c r="F2" s="63">
        <v>44317</v>
      </c>
      <c r="G2" s="63">
        <v>44348</v>
      </c>
      <c r="H2" s="63">
        <v>44013</v>
      </c>
      <c r="I2" s="63">
        <v>44044</v>
      </c>
      <c r="J2" s="63">
        <v>44075</v>
      </c>
      <c r="K2" s="63">
        <v>44105</v>
      </c>
      <c r="L2" s="63">
        <v>44136</v>
      </c>
      <c r="M2" s="63">
        <v>44166</v>
      </c>
      <c r="N2" s="62" t="s">
        <v>471</v>
      </c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</row>
    <row r="3" spans="1:35"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</row>
    <row r="4" spans="1:35">
      <c r="A4" s="574" t="s">
        <v>60</v>
      </c>
      <c r="B4" s="580">
        <f>+'Load Impact to Cost &amp; Rev'!B6</f>
        <v>1558634.9120964175</v>
      </c>
      <c r="C4" s="580">
        <f>+'Load Impact to Cost &amp; Rev'!C6</f>
        <v>-1181074.2118716799</v>
      </c>
      <c r="D4" s="580">
        <f>+'Load Impact to Cost &amp; Rev'!D6</f>
        <v>-99333.25268335476</v>
      </c>
      <c r="E4" s="580">
        <f>+'Load Impact to Cost &amp; Rev'!E6</f>
        <v>818411.68759650714</v>
      </c>
      <c r="F4" s="580">
        <f>+'Load Impact to Cost &amp; Rev'!F6</f>
        <v>67348.789074781074</v>
      </c>
      <c r="G4" s="580">
        <f>+'Load Impact to Cost &amp; Rev'!G6</f>
        <v>-1140812.4624585682</v>
      </c>
      <c r="H4" s="580">
        <f>+'Load Impact to Cost &amp; Rev'!H6</f>
        <v>-192504.59889119823</v>
      </c>
      <c r="I4" s="580">
        <f>+'Load Impact to Cost &amp; Rev'!I6</f>
        <v>-603807.5015732348</v>
      </c>
      <c r="J4" s="580">
        <f>+'Load Impact to Cost &amp; Rev'!J6</f>
        <v>-1265352.6913298985</v>
      </c>
      <c r="K4" s="580">
        <f>+'Load Impact to Cost &amp; Rev'!K6</f>
        <v>482872.18792273331</v>
      </c>
      <c r="L4" s="580">
        <f>+'Load Impact to Cost &amp; Rev'!L6</f>
        <v>408310.09537951939</v>
      </c>
      <c r="M4" s="580">
        <f>+'Load Impact to Cost &amp; Rev'!M6</f>
        <v>2497590.2700310759</v>
      </c>
      <c r="N4" s="580">
        <f>SUM(B4:M4)</f>
        <v>1350283.2232931</v>
      </c>
      <c r="O4" s="53">
        <f>+'Load Impact to Cost &amp; Rev'!N6-N4</f>
        <v>0</v>
      </c>
      <c r="P4" s="52" t="s">
        <v>61</v>
      </c>
    </row>
    <row r="5" spans="1:35">
      <c r="A5" s="574" t="s">
        <v>62</v>
      </c>
      <c r="B5" s="580">
        <f>+'12MOE Jun-21 Hydro'!B34</f>
        <v>3493559.0055392138</v>
      </c>
      <c r="C5" s="580">
        <f>+'12MOE Jun-21 Hydro'!C34</f>
        <v>2266540.3172829314</v>
      </c>
      <c r="D5" s="580">
        <f>+'12MOE Jun-21 Hydro'!D34</f>
        <v>-390631.65284291381</v>
      </c>
      <c r="E5" s="580">
        <f>+'12MOE Jun-21 Hydro'!E34</f>
        <v>-81506.188245039055</v>
      </c>
      <c r="F5" s="580">
        <f>+'12MOE Jun-21 Hydro'!F34</f>
        <v>-73259.917498813069</v>
      </c>
      <c r="G5" s="580">
        <f>+'12MOE Jun-21 Hydro'!G34</f>
        <v>393011.28418777382</v>
      </c>
      <c r="H5" s="580">
        <f>+'12MOE Jun-21 Hydro'!H34</f>
        <v>1486838.2558711395</v>
      </c>
      <c r="I5" s="580">
        <f>+'12MOE Jun-21 Hydro'!I34</f>
        <v>911701.45166512136</v>
      </c>
      <c r="J5" s="580">
        <f>+'12MOE Jun-21 Hydro'!J34</f>
        <v>943034.17204629083</v>
      </c>
      <c r="K5" s="580">
        <f>+'12MOE Jun-21 Hydro'!K34</f>
        <v>1023543.8027679574</v>
      </c>
      <c r="L5" s="580">
        <f>+'12MOE Jun-21 Hydro'!L34</f>
        <v>1212593.7301482479</v>
      </c>
      <c r="M5" s="580">
        <f>+'12MOE Jun-21 Hydro'!M34</f>
        <v>888407.26227725728</v>
      </c>
      <c r="N5" s="580">
        <f>SUM(B5:M5)</f>
        <v>12073831.523199167</v>
      </c>
      <c r="O5" s="53">
        <f>+'12MOE Jun-21 Hydro'!N34-N5</f>
        <v>0</v>
      </c>
      <c r="P5" s="52" t="s">
        <v>61</v>
      </c>
    </row>
    <row r="6" spans="1:35">
      <c r="A6" s="574" t="s">
        <v>63</v>
      </c>
      <c r="B6" s="580">
        <f>+'12MOE Jun-21 Wind'!B35</f>
        <v>-969725.2739466714</v>
      </c>
      <c r="C6" s="580">
        <f>+'12MOE Jun-21 Wind'!C35</f>
        <v>1904270.2496659299</v>
      </c>
      <c r="D6" s="580">
        <f>+'12MOE Jun-21 Wind'!D35</f>
        <v>-484996.16726741829</v>
      </c>
      <c r="E6" s="580">
        <f>+'12MOE Jun-21 Wind'!E35</f>
        <v>210665.15133912017</v>
      </c>
      <c r="F6" s="580">
        <f>+'12MOE Jun-21 Wind'!F35</f>
        <v>-50986.542735142473</v>
      </c>
      <c r="G6" s="580">
        <f>+'12MOE Jun-21 Wind'!G35</f>
        <v>-49810.192056027678</v>
      </c>
      <c r="H6" s="580">
        <f>+'12MOE Jun-21 Wind'!H35</f>
        <v>350840.93446429324</v>
      </c>
      <c r="I6" s="580">
        <f>+'12MOE Jun-21 Wind'!I35</f>
        <v>-3533.2122838007635</v>
      </c>
      <c r="J6" s="580">
        <f>+'12MOE Jun-21 Wind'!J35</f>
        <v>2185.4985142466612</v>
      </c>
      <c r="K6" s="580">
        <f>+'12MOE Jun-21 Wind'!K35</f>
        <v>1192216.1135271855</v>
      </c>
      <c r="L6" s="580">
        <f>+'12MOE Jun-21 Wind'!L35</f>
        <v>393016.65509911388</v>
      </c>
      <c r="M6" s="580">
        <f>+'12MOE Jun-21 Wind'!M35</f>
        <v>-859588.17318717577</v>
      </c>
      <c r="N6" s="580">
        <f>SUM(B6:M6)</f>
        <v>1634555.0411336529</v>
      </c>
      <c r="O6" s="53">
        <f>+'12MOE Jun-21 Wind'!N35-N6</f>
        <v>0</v>
      </c>
      <c r="P6" s="52" t="s">
        <v>61</v>
      </c>
    </row>
    <row r="7" spans="1:35"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</row>
    <row r="8" spans="1:35" ht="15.75" thickBot="1">
      <c r="A8" s="60" t="s">
        <v>64</v>
      </c>
      <c r="B8" s="61">
        <f t="shared" ref="B8:N8" si="0">SUM(B4:B7)</f>
        <v>4082468.6436889595</v>
      </c>
      <c r="C8" s="61">
        <f t="shared" si="0"/>
        <v>2989736.3550771815</v>
      </c>
      <c r="D8" s="61">
        <f t="shared" si="0"/>
        <v>-974961.07279368688</v>
      </c>
      <c r="E8" s="61">
        <f t="shared" si="0"/>
        <v>947570.65069058817</v>
      </c>
      <c r="F8" s="61">
        <f t="shared" si="0"/>
        <v>-56897.671159174468</v>
      </c>
      <c r="G8" s="61">
        <f t="shared" si="0"/>
        <v>-797611.37032682204</v>
      </c>
      <c r="H8" s="61">
        <f t="shared" si="0"/>
        <v>1645174.5914442346</v>
      </c>
      <c r="I8" s="61">
        <f t="shared" si="0"/>
        <v>304360.7378080858</v>
      </c>
      <c r="J8" s="61">
        <f t="shared" si="0"/>
        <v>-320133.02076936106</v>
      </c>
      <c r="K8" s="61">
        <f t="shared" si="0"/>
        <v>2698632.1042178762</v>
      </c>
      <c r="L8" s="61">
        <f t="shared" si="0"/>
        <v>2013920.4806268811</v>
      </c>
      <c r="M8" s="61">
        <f t="shared" si="0"/>
        <v>2526409.3591211573</v>
      </c>
      <c r="N8" s="61">
        <f t="shared" si="0"/>
        <v>15058669.78762592</v>
      </c>
    </row>
    <row r="9" spans="1:35" ht="15.75" thickTop="1">
      <c r="A9" s="60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35" ht="15.75" thickBot="1">
      <c r="A10" s="60" t="s">
        <v>65</v>
      </c>
      <c r="B10" s="61">
        <f>'Sched B 12MOE Jun-21'!E88</f>
        <v>0</v>
      </c>
      <c r="C10" s="61">
        <f>'Sched B 12MOE Jun-21'!F88</f>
        <v>0</v>
      </c>
      <c r="D10" s="61">
        <f>'Sched B 12MOE Jun-21'!G88</f>
        <v>0</v>
      </c>
      <c r="E10" s="61">
        <f>'Sched B 12MOE Jun-21'!H88</f>
        <v>0</v>
      </c>
      <c r="F10" s="61">
        <f>'Sched B 12MOE Jun-21'!I88</f>
        <v>0</v>
      </c>
      <c r="G10" s="61">
        <f>'Sched B 12MOE Jun-21'!J88</f>
        <v>-8852626.7315418422</v>
      </c>
      <c r="H10" s="61">
        <f>'Sched B 12MOE Jun-21'!K88</f>
        <v>0</v>
      </c>
      <c r="I10" s="61">
        <f>'Sched B 12MOE Jun-21'!L88</f>
        <v>0</v>
      </c>
      <c r="J10" s="61">
        <f>'Sched B 12MOE Jun-21'!M88</f>
        <v>0</v>
      </c>
      <c r="K10" s="61">
        <f>'Sched B 12MOE Jun-21'!N88</f>
        <v>0</v>
      </c>
      <c r="L10" s="61">
        <f>'Sched B 12MOE Jun-21'!O88</f>
        <v>0</v>
      </c>
      <c r="M10" s="61">
        <f>'Sched B 12MOE Jun-21'!P88</f>
        <v>0</v>
      </c>
      <c r="N10" s="61">
        <f>'Sched B 12MOE Jun-21'!J88</f>
        <v>-8852626.7315418422</v>
      </c>
    </row>
    <row r="11" spans="1:35" ht="16.5" thickTop="1" thickBot="1">
      <c r="A11" s="60" t="s">
        <v>470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>
        <f>+N10+N8</f>
        <v>6206043.0560840778</v>
      </c>
    </row>
    <row r="12" spans="1:35" ht="90" outlineLevel="1">
      <c r="A12" s="605" t="s">
        <v>469</v>
      </c>
      <c r="B12" s="604"/>
      <c r="C12" s="603" t="s">
        <v>66</v>
      </c>
      <c r="D12" s="603" t="s">
        <v>67</v>
      </c>
      <c r="E12" s="603" t="s">
        <v>68</v>
      </c>
      <c r="F12" s="602" t="s">
        <v>69</v>
      </c>
      <c r="G12" s="601" t="s">
        <v>468</v>
      </c>
      <c r="H12" s="581"/>
      <c r="I12" s="581"/>
      <c r="J12" s="581"/>
      <c r="K12" s="581"/>
      <c r="L12" s="581"/>
      <c r="M12" s="581"/>
      <c r="N12" s="581"/>
    </row>
    <row r="13" spans="1:35" outlineLevel="1">
      <c r="A13" s="58" t="s">
        <v>70</v>
      </c>
      <c r="B13" s="600"/>
      <c r="C13" s="599"/>
      <c r="D13" s="599"/>
      <c r="E13" s="598"/>
      <c r="F13" s="597"/>
      <c r="G13" s="596">
        <f t="shared" ref="G13:G18" si="1">SUM(B13:F13)</f>
        <v>0</v>
      </c>
      <c r="H13" s="581"/>
      <c r="I13" s="581"/>
      <c r="J13" s="581"/>
      <c r="K13" s="581"/>
      <c r="L13" s="581"/>
      <c r="M13" s="581"/>
      <c r="N13" s="581"/>
    </row>
    <row r="14" spans="1:35" outlineLevel="1">
      <c r="A14" s="57" t="s">
        <v>71</v>
      </c>
      <c r="B14" s="591"/>
      <c r="C14" s="595">
        <f>N4</f>
        <v>1350283.2232931</v>
      </c>
      <c r="D14" s="595">
        <f>N5</f>
        <v>12073831.523199167</v>
      </c>
      <c r="E14" s="594">
        <f>N6</f>
        <v>1634555.0411336529</v>
      </c>
      <c r="F14" s="593">
        <f>N10</f>
        <v>-8852626.7315418422</v>
      </c>
      <c r="G14" s="592">
        <f t="shared" si="1"/>
        <v>6206043.0560840778</v>
      </c>
      <c r="H14" s="581"/>
      <c r="I14" s="581"/>
      <c r="J14" s="581"/>
      <c r="K14" s="581"/>
      <c r="L14" s="581"/>
      <c r="M14" s="581"/>
      <c r="N14" s="581"/>
    </row>
    <row r="15" spans="1:35" outlineLevel="1">
      <c r="A15" s="57" t="s">
        <v>29</v>
      </c>
      <c r="B15" s="591"/>
      <c r="C15" s="590"/>
      <c r="D15" s="590"/>
      <c r="E15" s="588"/>
      <c r="F15" s="587"/>
      <c r="G15" s="586">
        <f t="shared" si="1"/>
        <v>0</v>
      </c>
      <c r="H15" s="581"/>
      <c r="I15" s="581"/>
      <c r="J15" s="581"/>
      <c r="K15" s="581"/>
      <c r="L15" s="581"/>
      <c r="M15" s="581"/>
      <c r="N15" s="581"/>
    </row>
    <row r="16" spans="1:35" outlineLevel="1">
      <c r="A16" s="57" t="s">
        <v>72</v>
      </c>
      <c r="B16" s="591"/>
      <c r="C16" s="590"/>
      <c r="D16" s="590"/>
      <c r="E16" s="588"/>
      <c r="F16" s="587"/>
      <c r="G16" s="586">
        <f t="shared" si="1"/>
        <v>0</v>
      </c>
      <c r="H16" s="581"/>
      <c r="I16" s="581"/>
      <c r="J16" s="581"/>
      <c r="K16" s="581"/>
      <c r="L16" s="581"/>
      <c r="M16" s="581"/>
      <c r="N16" s="581"/>
    </row>
    <row r="17" spans="1:16" outlineLevel="1">
      <c r="A17" s="57" t="s">
        <v>73</v>
      </c>
      <c r="B17" s="591"/>
      <c r="C17" s="590"/>
      <c r="D17" s="590"/>
      <c r="E17" s="588"/>
      <c r="F17" s="587"/>
      <c r="G17" s="586">
        <f t="shared" si="1"/>
        <v>0</v>
      </c>
      <c r="H17" s="581"/>
      <c r="I17" s="581"/>
      <c r="J17" s="581"/>
      <c r="K17" s="581"/>
      <c r="L17" s="581"/>
      <c r="M17" s="581"/>
      <c r="N17" s="581"/>
    </row>
    <row r="18" spans="1:16" outlineLevel="1">
      <c r="A18" s="57" t="s">
        <v>467</v>
      </c>
      <c r="B18" s="591"/>
      <c r="C18" s="590"/>
      <c r="D18" s="589"/>
      <c r="E18" s="588"/>
      <c r="F18" s="587"/>
      <c r="G18" s="586">
        <f t="shared" si="1"/>
        <v>0</v>
      </c>
      <c r="H18" s="581"/>
      <c r="I18" s="581"/>
      <c r="J18" s="581"/>
      <c r="K18" s="581"/>
      <c r="L18" s="581"/>
      <c r="M18" s="581"/>
      <c r="N18" s="581"/>
    </row>
    <row r="19" spans="1:16" ht="15.75" outlineLevel="1" thickBot="1">
      <c r="A19" s="56" t="s">
        <v>466</v>
      </c>
      <c r="B19" s="585"/>
      <c r="C19" s="584">
        <f>SUM(C13:C18)</f>
        <v>1350283.2232931</v>
      </c>
      <c r="D19" s="584">
        <f>SUM(D13:D18)</f>
        <v>12073831.523199167</v>
      </c>
      <c r="E19" s="584">
        <f>SUM(E13:E18)</f>
        <v>1634555.0411336529</v>
      </c>
      <c r="F19" s="583">
        <f>SUM(F13:F18)</f>
        <v>-8852626.7315418422</v>
      </c>
      <c r="G19" s="582">
        <f>SUM(G13:G18)</f>
        <v>6206043.0560840778</v>
      </c>
      <c r="H19" s="581"/>
      <c r="I19" s="581"/>
      <c r="J19" s="581"/>
      <c r="K19" s="581"/>
      <c r="L19" s="581"/>
      <c r="M19" s="581"/>
      <c r="N19" s="581"/>
    </row>
    <row r="20" spans="1:16">
      <c r="A20"/>
      <c r="B20" s="55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</row>
    <row r="21" spans="1:16">
      <c r="A21" s="54"/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</row>
    <row r="22" spans="1:16" hidden="1">
      <c r="A22" s="574" t="s">
        <v>74</v>
      </c>
      <c r="B22" s="580" t="e">
        <f>+#REF!</f>
        <v>#REF!</v>
      </c>
      <c r="C22" s="580" t="e">
        <f>+#REF!</f>
        <v>#REF!</v>
      </c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 t="e">
        <f>SUM(B22:I22)</f>
        <v>#REF!</v>
      </c>
      <c r="O22" s="53"/>
      <c r="P22" s="52"/>
    </row>
    <row r="23" spans="1:16" hidden="1">
      <c r="A23" s="574" t="s">
        <v>346</v>
      </c>
      <c r="B23" s="580" t="e">
        <f>-#REF!</f>
        <v>#REF!</v>
      </c>
      <c r="C23" s="580" t="e">
        <f>-#REF!</f>
        <v>#REF!</v>
      </c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 t="e">
        <f>SUM(B23:I23)</f>
        <v>#REF!</v>
      </c>
      <c r="O23" s="53"/>
      <c r="P23" s="52"/>
    </row>
    <row r="24" spans="1:16" hidden="1"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3"/>
      <c r="P24" s="52"/>
    </row>
    <row r="25" spans="1:16" ht="15.75" hidden="1" thickBot="1">
      <c r="A25" s="574" t="s">
        <v>75</v>
      </c>
      <c r="B25" s="579" t="e">
        <f t="shared" ref="B25:I25" si="2">SUM(B8,B22:B23)</f>
        <v>#REF!</v>
      </c>
      <c r="C25" s="579" t="e">
        <f t="shared" si="2"/>
        <v>#REF!</v>
      </c>
      <c r="D25" s="579">
        <f t="shared" si="2"/>
        <v>-974961.07279368688</v>
      </c>
      <c r="E25" s="579">
        <f t="shared" si="2"/>
        <v>947570.65069058817</v>
      </c>
      <c r="F25" s="579">
        <f t="shared" si="2"/>
        <v>-56897.671159174468</v>
      </c>
      <c r="G25" s="579">
        <f t="shared" si="2"/>
        <v>-797611.37032682204</v>
      </c>
      <c r="H25" s="579">
        <f t="shared" si="2"/>
        <v>1645174.5914442346</v>
      </c>
      <c r="I25" s="579">
        <f t="shared" si="2"/>
        <v>304360.7378080858</v>
      </c>
      <c r="J25" s="578"/>
      <c r="K25" s="578"/>
      <c r="L25" s="578"/>
      <c r="M25" s="578"/>
      <c r="N25" s="577" t="e">
        <f>SUM(N8,N22:N23)</f>
        <v>#REF!</v>
      </c>
    </row>
    <row r="34" spans="6:11">
      <c r="K34" s="576"/>
    </row>
    <row r="35" spans="6:11">
      <c r="K35" s="576"/>
    </row>
    <row r="36" spans="6:11">
      <c r="G36" s="575"/>
    </row>
    <row r="37" spans="6:11">
      <c r="F37" s="471"/>
      <c r="G37" s="575"/>
    </row>
  </sheetData>
  <pageMargins left="0.7" right="0.7" top="0.75" bottom="0.75" header="0.3" footer="0.3"/>
  <pageSetup scale="63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P13"/>
  <sheetViews>
    <sheetView zoomScale="90" zoomScaleNormal="90" workbookViewId="0">
      <pane xSplit="1" ySplit="2" topLeftCell="B3" activePane="bottomRight" state="frozen"/>
      <selection activeCell="M26" sqref="M26"/>
      <selection pane="topRight" activeCell="M26" sqref="M26"/>
      <selection pane="bottomLeft" activeCell="M26" sqref="M26"/>
      <selection pane="bottomRight" activeCell="M26" sqref="M26"/>
    </sheetView>
  </sheetViews>
  <sheetFormatPr defaultColWidth="9.140625" defaultRowHeight="15"/>
  <cols>
    <col min="1" max="1" width="44.140625" style="574" customWidth="1"/>
    <col min="2" max="2" width="15.140625" style="574" bestFit="1" customWidth="1"/>
    <col min="3" max="3" width="14.42578125" style="574" bestFit="1" customWidth="1"/>
    <col min="4" max="4" width="14.85546875" style="574" bestFit="1" customWidth="1"/>
    <col min="5" max="5" width="14.28515625" style="574" bestFit="1" customWidth="1"/>
    <col min="6" max="6" width="16.140625" style="574" bestFit="1" customWidth="1"/>
    <col min="7" max="9" width="14.28515625" style="574" bestFit="1" customWidth="1"/>
    <col min="10" max="13" width="14.140625" style="574" customWidth="1"/>
    <col min="14" max="14" width="19.85546875" style="574" customWidth="1"/>
    <col min="15" max="16384" width="9.140625" style="574"/>
  </cols>
  <sheetData>
    <row r="1" spans="1:16">
      <c r="A1" s="764" t="s">
        <v>76</v>
      </c>
      <c r="B1" s="613" t="s">
        <v>58</v>
      </c>
      <c r="C1" s="613" t="s">
        <v>58</v>
      </c>
      <c r="D1" s="613" t="s">
        <v>58</v>
      </c>
      <c r="E1" s="613" t="s">
        <v>58</v>
      </c>
      <c r="F1" s="613" t="s">
        <v>58</v>
      </c>
      <c r="G1" s="613" t="s">
        <v>58</v>
      </c>
      <c r="H1" s="613" t="s">
        <v>58</v>
      </c>
      <c r="I1" s="613" t="s">
        <v>58</v>
      </c>
      <c r="J1" s="613" t="s">
        <v>58</v>
      </c>
      <c r="K1" s="613" t="s">
        <v>58</v>
      </c>
      <c r="L1" s="613" t="s">
        <v>58</v>
      </c>
      <c r="M1" s="613" t="s">
        <v>58</v>
      </c>
    </row>
    <row r="2" spans="1:16">
      <c r="B2" s="2">
        <f>'Summary Normalization'!B2</f>
        <v>44197</v>
      </c>
      <c r="C2" s="2">
        <f>'Summary Normalization'!C2</f>
        <v>44228</v>
      </c>
      <c r="D2" s="2">
        <f>'Summary Normalization'!D2</f>
        <v>44256</v>
      </c>
      <c r="E2" s="2">
        <f>'Summary Normalization'!E2</f>
        <v>44287</v>
      </c>
      <c r="F2" s="2">
        <f>'Summary Normalization'!F2</f>
        <v>44317</v>
      </c>
      <c r="G2" s="2">
        <f>'Summary Normalization'!G2</f>
        <v>44348</v>
      </c>
      <c r="H2" s="2">
        <f>'Summary Normalization'!H2</f>
        <v>44013</v>
      </c>
      <c r="I2" s="2">
        <f>'Summary Normalization'!I2</f>
        <v>44044</v>
      </c>
      <c r="J2" s="2">
        <f>'Summary Normalization'!J2</f>
        <v>44075</v>
      </c>
      <c r="K2" s="2">
        <f>'Summary Normalization'!K2</f>
        <v>44105</v>
      </c>
      <c r="L2" s="2">
        <f>'Summary Normalization'!L2</f>
        <v>44136</v>
      </c>
      <c r="M2" s="2">
        <f>'Summary Normalization'!M2</f>
        <v>44166</v>
      </c>
      <c r="N2" s="2" t="s">
        <v>474</v>
      </c>
    </row>
    <row r="3" spans="1:16">
      <c r="A3" s="60" t="s">
        <v>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6">
      <c r="A4" s="574" t="s">
        <v>473</v>
      </c>
      <c r="B4" s="611">
        <f>VLOOKUP(B$2,'Load Temp Adj'!$B:$F,5,FALSE)/1000</f>
        <v>59565.753678807712</v>
      </c>
      <c r="C4" s="611">
        <f>VLOOKUP(C$2,'Load Temp Adj'!$B:$F,5,FALSE)/1000</f>
        <v>-46777.905346585765</v>
      </c>
      <c r="D4" s="611">
        <f>VLOOKUP(D$2,'Load Temp Adj'!$B:$F,5,FALSE)/1000</f>
        <v>-5114.329988067354</v>
      </c>
      <c r="E4" s="611">
        <f>VLOOKUP(E$2,'Load Temp Adj'!$B:$F,5,FALSE)/1000</f>
        <v>52087.337302762018</v>
      </c>
      <c r="F4" s="611">
        <f>VLOOKUP(F$2,'Load Temp Adj'!$B:$F,5,FALSE)/1000</f>
        <v>8302.8015370113226</v>
      </c>
      <c r="G4" s="611">
        <f>VLOOKUP(G$2,'Load Temp Adj'!$B:$F,5,FALSE)/1000</f>
        <v>-99788.554531655362</v>
      </c>
      <c r="H4" s="611">
        <f>VLOOKUP(H$2,'Load Temp Adj'!$B:$F,5,FALSE)/1000</f>
        <v>-9087.9744547247392</v>
      </c>
      <c r="I4" s="611">
        <f>VLOOKUP(I$2,'Load Temp Adj'!$B:$F,5,FALSE)/1000</f>
        <v>-24604.879259442059</v>
      </c>
      <c r="J4" s="611">
        <f>VLOOKUP(J$2,'Load Temp Adj'!$B:$F,5,FALSE)/1000</f>
        <v>-52359.038857299609</v>
      </c>
      <c r="K4" s="611">
        <f>VLOOKUP(K$2,'Load Temp Adj'!$B:$F,5,FALSE)/1000</f>
        <v>20491.163790214872</v>
      </c>
      <c r="L4" s="611">
        <f>VLOOKUP(L$2,'Load Temp Adj'!$B:$F,5,FALSE)/1000</f>
        <v>17930.803791425853</v>
      </c>
      <c r="M4" s="611">
        <f>VLOOKUP(M$2,'Load Temp Adj'!$B:$F,5,FALSE)/1000</f>
        <v>83456.127863274625</v>
      </c>
      <c r="N4" s="611">
        <f>SUM(B4:M4)</f>
        <v>4101.3055257215165</v>
      </c>
    </row>
    <row r="5" spans="1:16">
      <c r="A5" s="574" t="s">
        <v>78</v>
      </c>
      <c r="B5" s="765">
        <f>Price!J24</f>
        <v>26.166627900000002</v>
      </c>
      <c r="C5" s="765">
        <f>Price!K24</f>
        <v>25.248548499999998</v>
      </c>
      <c r="D5" s="765">
        <f>Price!L24</f>
        <v>19.422534899999999</v>
      </c>
      <c r="E5" s="765">
        <f>Price!M24</f>
        <v>15.712296500000001</v>
      </c>
      <c r="F5" s="765">
        <f>Price!B24</f>
        <v>8.1115739999999992</v>
      </c>
      <c r="G5" s="765">
        <f>Price!C24</f>
        <v>11.432297699999999</v>
      </c>
      <c r="H5" s="765">
        <f>Price!H10</f>
        <v>21.182343749999998</v>
      </c>
      <c r="I5" s="765">
        <f>Price!I10</f>
        <v>24.540153</v>
      </c>
      <c r="J5" s="765">
        <f>Price!J10</f>
        <v>24.166843374999999</v>
      </c>
      <c r="K5" s="765">
        <f>Price!K10*14/31+Price!G24*17/31</f>
        <v>23.564898161290323</v>
      </c>
      <c r="L5" s="765">
        <f>Price!H24</f>
        <v>22.771432900000001</v>
      </c>
      <c r="M5" s="765">
        <f>Price!I24</f>
        <v>29.9269848</v>
      </c>
      <c r="N5" s="610">
        <f>AVERAGE(B5:M5)</f>
        <v>21.020544623857528</v>
      </c>
      <c r="O5" s="66"/>
      <c r="P5" s="65" t="s">
        <v>79</v>
      </c>
    </row>
    <row r="6" spans="1:16" ht="15.75" thickBot="1">
      <c r="A6" s="574" t="s">
        <v>59</v>
      </c>
      <c r="B6" s="612">
        <f t="shared" ref="B6:M6" si="0">+B5*B4</f>
        <v>1558634.9120964175</v>
      </c>
      <c r="C6" s="612">
        <f t="shared" si="0"/>
        <v>-1181074.2118716799</v>
      </c>
      <c r="D6" s="612">
        <f t="shared" si="0"/>
        <v>-99333.25268335476</v>
      </c>
      <c r="E6" s="612">
        <f t="shared" si="0"/>
        <v>818411.68759650714</v>
      </c>
      <c r="F6" s="612">
        <f t="shared" si="0"/>
        <v>67348.789074781074</v>
      </c>
      <c r="G6" s="612">
        <f t="shared" si="0"/>
        <v>-1140812.4624585682</v>
      </c>
      <c r="H6" s="612">
        <f t="shared" si="0"/>
        <v>-192504.59889119823</v>
      </c>
      <c r="I6" s="612">
        <f t="shared" si="0"/>
        <v>-603807.5015732348</v>
      </c>
      <c r="J6" s="612">
        <f t="shared" si="0"/>
        <v>-1265352.6913298985</v>
      </c>
      <c r="K6" s="612">
        <f t="shared" si="0"/>
        <v>482872.18792273331</v>
      </c>
      <c r="L6" s="612">
        <f t="shared" si="0"/>
        <v>408310.09537951939</v>
      </c>
      <c r="M6" s="612">
        <f t="shared" si="0"/>
        <v>2497590.2700310759</v>
      </c>
      <c r="N6" s="612">
        <f>SUM(B6:M6)</f>
        <v>1350283.2232931</v>
      </c>
    </row>
    <row r="7" spans="1:16" ht="15.75" thickTop="1"/>
    <row r="8" spans="1:16">
      <c r="A8" s="60" t="s">
        <v>80</v>
      </c>
    </row>
    <row r="9" spans="1:16">
      <c r="A9" s="574" t="s">
        <v>472</v>
      </c>
      <c r="B9" s="611">
        <f>VLOOKUP(B$2,'Load Temp Adj'!$B:$F,4,FALSE)/1000</f>
        <v>54979.190645539522</v>
      </c>
      <c r="C9" s="611">
        <f>VLOOKUP(C$2,'Load Temp Adj'!$B:$F,4,FALSE)/1000</f>
        <v>-43176.006634898666</v>
      </c>
      <c r="D9" s="611">
        <f>VLOOKUP(D$2,'Load Temp Adj'!$B:$F,4,FALSE)/1000</f>
        <v>-4720.5265789861678</v>
      </c>
      <c r="E9" s="611">
        <f>VLOOKUP(E$2,'Load Temp Adj'!$B:$F,4,FALSE)/1000</f>
        <v>48076.612330449345</v>
      </c>
      <c r="F9" s="611">
        <f>VLOOKUP(F$2,'Load Temp Adj'!$B:$F,4,FALSE)/1000</f>
        <v>7663.485818661451</v>
      </c>
      <c r="G9" s="611">
        <f>VLOOKUP(G$2,'Load Temp Adj'!$B:$F,4,FALSE)/1000</f>
        <v>-92104.835832717901</v>
      </c>
      <c r="H9" s="611">
        <f>VLOOKUP(H$2,'Load Temp Adj'!$B:$F,4,FALSE)/1000</f>
        <v>-8469.9921918034561</v>
      </c>
      <c r="I9" s="611">
        <f>VLOOKUP(I$2,'Load Temp Adj'!$B:$F,4,FALSE)/1000</f>
        <v>-22931.747469799997</v>
      </c>
      <c r="J9" s="611">
        <f>VLOOKUP(J$2,'Load Temp Adj'!$B:$F,4,FALSE)/1000</f>
        <v>-48327.39286528754</v>
      </c>
      <c r="K9" s="611">
        <f>VLOOKUP(K$2,'Load Temp Adj'!$B:$F,4,FALSE)/1000</f>
        <v>18913.34417836833</v>
      </c>
      <c r="L9" s="611">
        <f>VLOOKUP(L$2,'Load Temp Adj'!$B:$F,4,FALSE)/1000</f>
        <v>16550.131899486067</v>
      </c>
      <c r="M9" s="611">
        <f>VLOOKUP(M$2,'Load Temp Adj'!$B:$F,4,FALSE)/1000</f>
        <v>77030.006017802472</v>
      </c>
      <c r="N9" s="611">
        <f>SUM(B9:M9)</f>
        <v>3482.2693168134574</v>
      </c>
    </row>
    <row r="10" spans="1:16">
      <c r="A10" s="574" t="s">
        <v>81</v>
      </c>
      <c r="B10" s="766">
        <f>'Sched B 12MOE Jun-21'!$C$30*1000</f>
        <v>34.753</v>
      </c>
      <c r="C10" s="766">
        <f>'Sched B 12MOE Jun-21'!$C$30*1000</f>
        <v>34.753</v>
      </c>
      <c r="D10" s="766">
        <f>'Sched B 12MOE Jun-21'!$C$30*1000</f>
        <v>34.753</v>
      </c>
      <c r="E10" s="766">
        <f>'Sched B 12MOE Jun-21'!$C$30*1000</f>
        <v>34.753</v>
      </c>
      <c r="F10" s="766">
        <f>'Sched B 12MOE Jun-21'!$C$30*1000</f>
        <v>34.753</v>
      </c>
      <c r="G10" s="766">
        <f>'Sched B 12MOE Jun-21'!$C$30*1000</f>
        <v>34.753</v>
      </c>
      <c r="H10" s="766">
        <f>'Sched B 12MOE Jun-21'!$C$29*1000</f>
        <v>33.033999999999999</v>
      </c>
      <c r="I10" s="766">
        <f>'Sched B 12MOE Jun-21'!$C$29*1000</f>
        <v>33.033999999999999</v>
      </c>
      <c r="J10" s="766">
        <f>'Sched B 12MOE Jun-21'!$C$29*1000</f>
        <v>33.033999999999999</v>
      </c>
      <c r="K10" s="766">
        <f>'Sched B 12MOE Jun-21'!$C$29*1000*14/31+'Sched B 12MOE Jun-21'!$C$30*1000*17/31</f>
        <v>33.976677419354843</v>
      </c>
      <c r="L10" s="766">
        <f>'Sched B 12MOE Jun-21'!$C$30*1000</f>
        <v>34.753</v>
      </c>
      <c r="M10" s="766">
        <f>'Sched B 12MOE Jun-21'!$C$30*1000</f>
        <v>34.753</v>
      </c>
      <c r="N10" s="610">
        <f>AVERAGE(B10:M10)</f>
        <v>34.258556451612897</v>
      </c>
      <c r="O10" s="66"/>
      <c r="P10" s="65"/>
    </row>
    <row r="11" spans="1:16" ht="15.75" thickBot="1">
      <c r="A11" s="574" t="s">
        <v>82</v>
      </c>
      <c r="B11" s="609">
        <f t="shared" ref="B11:M11" si="1">+B10*B9</f>
        <v>1910691.812504435</v>
      </c>
      <c r="C11" s="609">
        <f t="shared" si="1"/>
        <v>-1500495.7585826332</v>
      </c>
      <c r="D11" s="609">
        <f t="shared" si="1"/>
        <v>-164052.46019950628</v>
      </c>
      <c r="E11" s="609">
        <f t="shared" si="1"/>
        <v>1670806.5083201062</v>
      </c>
      <c r="F11" s="609">
        <f t="shared" si="1"/>
        <v>266329.12265594141</v>
      </c>
      <c r="G11" s="609">
        <f t="shared" si="1"/>
        <v>-3200919.359694445</v>
      </c>
      <c r="H11" s="609">
        <f t="shared" si="1"/>
        <v>-279797.72206403536</v>
      </c>
      <c r="I11" s="609">
        <f t="shared" si="1"/>
        <v>-757527.34591737308</v>
      </c>
      <c r="J11" s="609">
        <f t="shared" si="1"/>
        <v>-1596447.0959119087</v>
      </c>
      <c r="K11" s="609">
        <f t="shared" si="1"/>
        <v>642612.59406965366</v>
      </c>
      <c r="L11" s="609">
        <f t="shared" si="1"/>
        <v>575166.73390283925</v>
      </c>
      <c r="M11" s="609">
        <f t="shared" si="1"/>
        <v>2677023.7991366894</v>
      </c>
      <c r="N11" s="609">
        <f>SUM(B11:M11)</f>
        <v>243390.82821976347</v>
      </c>
    </row>
    <row r="12" spans="1:16" ht="15.75" thickTop="1"/>
    <row r="13" spans="1:16"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8"/>
      <c r="M13" s="608"/>
    </row>
  </sheetData>
  <pageMargins left="0.7" right="0.7" top="0.75" bottom="0.75" header="0.3" footer="0.3"/>
  <pageSetup scale="68" orientation="landscape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R53"/>
  <sheetViews>
    <sheetView workbookViewId="0">
      <selection activeCell="M26" sqref="M26"/>
    </sheetView>
  </sheetViews>
  <sheetFormatPr defaultColWidth="9.140625" defaultRowHeight="12.75"/>
  <cols>
    <col min="1" max="1" width="9.140625" style="68" bestFit="1" customWidth="1"/>
    <col min="2" max="2" width="13.7109375" style="68" bestFit="1" customWidth="1"/>
    <col min="3" max="4" width="14.42578125" style="68" bestFit="1" customWidth="1"/>
    <col min="5" max="6" width="18.42578125" style="68" customWidth="1"/>
    <col min="7" max="7" width="15.140625" style="68" bestFit="1" customWidth="1"/>
    <col min="8" max="8" width="5" style="68" bestFit="1" customWidth="1"/>
    <col min="9" max="9" width="16.140625" style="68" bestFit="1" customWidth="1"/>
    <col min="10" max="10" width="17.5703125" style="68" bestFit="1" customWidth="1"/>
    <col min="11" max="11" width="16.42578125" style="68" bestFit="1" customWidth="1"/>
    <col min="12" max="16384" width="9.140625" style="68"/>
  </cols>
  <sheetData>
    <row r="1" spans="1:7">
      <c r="F1" s="108"/>
    </row>
    <row r="2" spans="1:7">
      <c r="A2" s="105" t="s">
        <v>83</v>
      </c>
      <c r="B2" s="105"/>
      <c r="C2" s="105"/>
      <c r="D2" s="105"/>
      <c r="E2" s="105"/>
      <c r="F2" s="105"/>
    </row>
    <row r="3" spans="1:7">
      <c r="A3" s="105" t="s">
        <v>84</v>
      </c>
      <c r="B3" s="105"/>
      <c r="C3" s="105"/>
      <c r="D3" s="105"/>
      <c r="E3" s="105"/>
      <c r="F3" s="105"/>
    </row>
    <row r="4" spans="1:7">
      <c r="A4" s="106" t="s">
        <v>480</v>
      </c>
      <c r="B4" s="107"/>
      <c r="C4" s="107"/>
      <c r="D4" s="107"/>
      <c r="E4" s="107"/>
      <c r="F4" s="106"/>
    </row>
    <row r="5" spans="1:7" ht="15.75" customHeight="1">
      <c r="A5" s="105"/>
      <c r="B5" s="105"/>
      <c r="C5" s="105"/>
      <c r="D5" s="105"/>
      <c r="E5" s="105"/>
      <c r="F5" s="105"/>
    </row>
    <row r="6" spans="1:7">
      <c r="A6" s="96"/>
    </row>
    <row r="7" spans="1:7">
      <c r="A7" s="104" t="s">
        <v>85</v>
      </c>
      <c r="B7" s="103"/>
      <c r="C7" s="103"/>
      <c r="D7" s="103"/>
    </row>
    <row r="8" spans="1:7">
      <c r="A8" s="102" t="s">
        <v>86</v>
      </c>
      <c r="B8" s="101" t="s">
        <v>0</v>
      </c>
      <c r="C8" s="100"/>
      <c r="D8" s="100"/>
      <c r="E8" s="100"/>
      <c r="F8" s="100"/>
    </row>
    <row r="9" spans="1:7">
      <c r="A9" s="99"/>
      <c r="B9" s="98"/>
      <c r="C9" s="97"/>
      <c r="D9" s="97"/>
      <c r="E9" s="97"/>
      <c r="F9" s="97"/>
    </row>
    <row r="10" spans="1:7">
      <c r="A10" s="96"/>
      <c r="B10" s="69"/>
      <c r="C10" s="95" t="s">
        <v>479</v>
      </c>
      <c r="D10" s="94" t="s">
        <v>478</v>
      </c>
      <c r="E10" s="92"/>
      <c r="F10" s="93" t="s">
        <v>676</v>
      </c>
      <c r="G10" s="93" t="s">
        <v>675</v>
      </c>
    </row>
    <row r="11" spans="1:7">
      <c r="A11" s="74">
        <v>1</v>
      </c>
      <c r="B11" s="89"/>
      <c r="C11" s="92" t="s">
        <v>477</v>
      </c>
      <c r="D11" s="92" t="s">
        <v>477</v>
      </c>
      <c r="E11" s="91" t="s">
        <v>87</v>
      </c>
      <c r="F11" s="90" t="s">
        <v>476</v>
      </c>
      <c r="G11" s="90" t="s">
        <v>476</v>
      </c>
    </row>
    <row r="12" spans="1:7">
      <c r="A12" s="74">
        <f t="shared" ref="A12:A25" si="0">A11+1</f>
        <v>2</v>
      </c>
      <c r="B12" s="89"/>
      <c r="C12" s="88" t="s">
        <v>87</v>
      </c>
      <c r="D12" s="87" t="s">
        <v>87</v>
      </c>
      <c r="E12" s="86" t="s">
        <v>88</v>
      </c>
      <c r="F12" s="85">
        <v>6.8000000000000005E-2</v>
      </c>
      <c r="G12" s="85">
        <v>7.6999999999999999E-2</v>
      </c>
    </row>
    <row r="13" spans="1:7">
      <c r="A13" s="74">
        <f t="shared" si="0"/>
        <v>3</v>
      </c>
      <c r="B13" s="79">
        <f t="array" ref="B13:B24">TRANSPOSE('Summary Normalization'!$B$2:$M$2)</f>
        <v>44197</v>
      </c>
      <c r="C13" s="84">
        <v>1868114423.4750001</v>
      </c>
      <c r="D13" s="83">
        <v>1923093614.1205397</v>
      </c>
      <c r="E13" s="76">
        <f t="shared" ref="E13:E24" si="1">+D13-C13</f>
        <v>54979190.645539522</v>
      </c>
      <c r="F13" s="82">
        <f t="shared" ref="F13:F18" si="2">E13/(1-$G$12)</f>
        <v>59565753.678807713</v>
      </c>
    </row>
    <row r="14" spans="1:7">
      <c r="A14" s="74">
        <f t="shared" si="0"/>
        <v>4</v>
      </c>
      <c r="B14" s="79">
        <v>44228</v>
      </c>
      <c r="C14" s="84">
        <v>1887271768.9589999</v>
      </c>
      <c r="D14" s="83">
        <v>1844095762.3241012</v>
      </c>
      <c r="E14" s="76">
        <f t="shared" si="1"/>
        <v>-43176006.634898663</v>
      </c>
      <c r="F14" s="82">
        <f t="shared" si="2"/>
        <v>-46777905.346585765</v>
      </c>
    </row>
    <row r="15" spans="1:7">
      <c r="A15" s="74">
        <f t="shared" si="0"/>
        <v>5</v>
      </c>
      <c r="B15" s="79">
        <v>44256</v>
      </c>
      <c r="C15" s="84">
        <v>1892345536.9559996</v>
      </c>
      <c r="D15" s="83">
        <v>1887625010.3770134</v>
      </c>
      <c r="E15" s="76">
        <f t="shared" si="1"/>
        <v>-4720526.5789861679</v>
      </c>
      <c r="F15" s="82">
        <f t="shared" si="2"/>
        <v>-5114329.9880673541</v>
      </c>
    </row>
    <row r="16" spans="1:7">
      <c r="A16" s="74">
        <f t="shared" si="0"/>
        <v>6</v>
      </c>
      <c r="B16" s="79">
        <v>44287</v>
      </c>
      <c r="C16" s="84">
        <v>1714735901.5120001</v>
      </c>
      <c r="D16" s="83">
        <v>1762812513.8424494</v>
      </c>
      <c r="E16" s="76">
        <f t="shared" si="1"/>
        <v>48076612.330449343</v>
      </c>
      <c r="F16" s="82">
        <f t="shared" si="2"/>
        <v>52087337.302762017</v>
      </c>
    </row>
    <row r="17" spans="1:18">
      <c r="A17" s="74">
        <f t="shared" si="0"/>
        <v>7</v>
      </c>
      <c r="B17" s="79">
        <v>44317</v>
      </c>
      <c r="C17" s="84">
        <v>1398472657.098</v>
      </c>
      <c r="D17" s="83">
        <v>1406136142.9166615</v>
      </c>
      <c r="E17" s="76">
        <f t="shared" si="1"/>
        <v>7663485.8186614513</v>
      </c>
      <c r="F17" s="82">
        <f t="shared" si="2"/>
        <v>8302801.5370113226</v>
      </c>
      <c r="L17" s="475"/>
      <c r="M17" s="475"/>
      <c r="N17" s="475"/>
      <c r="O17" s="475"/>
      <c r="P17" s="475"/>
      <c r="Q17" s="475"/>
    </row>
    <row r="18" spans="1:18">
      <c r="A18" s="74">
        <f t="shared" si="0"/>
        <v>8</v>
      </c>
      <c r="B18" s="79">
        <v>44348</v>
      </c>
      <c r="C18" s="84">
        <v>1443459012.2519999</v>
      </c>
      <c r="D18" s="83">
        <v>1351354176.419282</v>
      </c>
      <c r="E18" s="76">
        <f t="shared" si="1"/>
        <v>-92104835.832717896</v>
      </c>
      <c r="F18" s="82">
        <f t="shared" si="2"/>
        <v>-99788554.531655356</v>
      </c>
      <c r="M18" s="475"/>
      <c r="N18" s="475"/>
      <c r="O18" s="475"/>
      <c r="P18" s="475"/>
      <c r="Q18" s="475"/>
      <c r="R18" s="475"/>
    </row>
    <row r="19" spans="1:18">
      <c r="A19" s="74">
        <f t="shared" si="0"/>
        <v>9</v>
      </c>
      <c r="B19" s="79">
        <v>44013</v>
      </c>
      <c r="C19" s="80">
        <v>1328292680.3509998</v>
      </c>
      <c r="D19" s="77">
        <v>1319822688.1591964</v>
      </c>
      <c r="E19" s="76">
        <f t="shared" si="1"/>
        <v>-8469992.1918034554</v>
      </c>
      <c r="F19" s="75">
        <f>E19/(1-$F$12)</f>
        <v>-9087974.4547247384</v>
      </c>
      <c r="G19" s="81"/>
      <c r="M19" s="474"/>
      <c r="N19" s="474"/>
      <c r="O19" s="474"/>
      <c r="P19" s="474"/>
      <c r="Q19" s="474"/>
    </row>
    <row r="20" spans="1:18">
      <c r="A20" s="74">
        <f t="shared" si="0"/>
        <v>10</v>
      </c>
      <c r="B20" s="79">
        <v>44044</v>
      </c>
      <c r="C20" s="80">
        <v>1383568377.2999997</v>
      </c>
      <c r="D20" s="77">
        <v>1360636629.8301997</v>
      </c>
      <c r="E20" s="76">
        <f t="shared" si="1"/>
        <v>-22931747.469799995</v>
      </c>
      <c r="F20" s="75">
        <f>E20/(1-$F$12)</f>
        <v>-24604879.259442057</v>
      </c>
      <c r="G20" s="81"/>
    </row>
    <row r="21" spans="1:18">
      <c r="A21" s="74">
        <f t="shared" si="0"/>
        <v>11</v>
      </c>
      <c r="B21" s="79">
        <v>44075</v>
      </c>
      <c r="C21" s="80">
        <v>1399226911.0190001</v>
      </c>
      <c r="D21" s="77">
        <v>1350899518.1537125</v>
      </c>
      <c r="E21" s="76">
        <f t="shared" si="1"/>
        <v>-48327392.865287542</v>
      </c>
      <c r="F21" s="75">
        <f>E21/(1-$G$12)</f>
        <v>-52359038.857299611</v>
      </c>
      <c r="G21" s="81"/>
    </row>
    <row r="22" spans="1:18">
      <c r="A22" s="74">
        <f t="shared" si="0"/>
        <v>12</v>
      </c>
      <c r="B22" s="79">
        <v>44105</v>
      </c>
      <c r="C22" s="80">
        <v>1373996513.6250002</v>
      </c>
      <c r="D22" s="77">
        <v>1392909857.8033686</v>
      </c>
      <c r="E22" s="76">
        <f t="shared" si="1"/>
        <v>18913344.17836833</v>
      </c>
      <c r="F22" s="75">
        <f>E22/(1-$G$12)</f>
        <v>20491163.790214874</v>
      </c>
    </row>
    <row r="23" spans="1:18">
      <c r="A23" s="74">
        <f t="shared" si="0"/>
        <v>13</v>
      </c>
      <c r="B23" s="79">
        <v>44136</v>
      </c>
      <c r="C23" s="80">
        <v>1561773015.543</v>
      </c>
      <c r="D23" s="77">
        <v>1578323147.442486</v>
      </c>
      <c r="E23" s="76">
        <f t="shared" si="1"/>
        <v>16550131.899486065</v>
      </c>
      <c r="F23" s="75">
        <f>E23/(1-$G$12)</f>
        <v>17930803.791425854</v>
      </c>
    </row>
    <row r="24" spans="1:18">
      <c r="A24" s="74">
        <f t="shared" si="0"/>
        <v>14</v>
      </c>
      <c r="B24" s="79">
        <v>44166</v>
      </c>
      <c r="C24" s="78">
        <v>1884444268.7149999</v>
      </c>
      <c r="D24" s="77">
        <v>1961474274.7328024</v>
      </c>
      <c r="E24" s="76">
        <f t="shared" si="1"/>
        <v>77030006.017802477</v>
      </c>
      <c r="F24" s="75">
        <f>E24/(1-$G$12)</f>
        <v>83456127.863274619</v>
      </c>
    </row>
    <row r="25" spans="1:18">
      <c r="A25" s="74">
        <f t="shared" si="0"/>
        <v>15</v>
      </c>
      <c r="C25" s="73">
        <f>SUM(C13:C24)</f>
        <v>19135701066.804996</v>
      </c>
      <c r="D25" s="72">
        <f>SUM(D13:D24)</f>
        <v>19139183336.121815</v>
      </c>
      <c r="E25" s="72">
        <f>SUM(E13:E24)</f>
        <v>3482269.3168134689</v>
      </c>
      <c r="F25" s="72">
        <f>SUM(F13:F24)</f>
        <v>4101305.5257215351</v>
      </c>
    </row>
    <row r="26" spans="1:18">
      <c r="A26"/>
      <c r="B26"/>
      <c r="C26"/>
      <c r="D26"/>
      <c r="E26"/>
      <c r="F26"/>
      <c r="G26"/>
      <c r="H26"/>
      <c r="I26"/>
      <c r="J26"/>
    </row>
    <row r="27" spans="1:18">
      <c r="A27"/>
      <c r="B27" s="1060" t="s">
        <v>475</v>
      </c>
      <c r="C27" s="1060"/>
      <c r="D27" s="1060"/>
      <c r="E27" s="1060"/>
      <c r="F27"/>
      <c r="G27"/>
      <c r="H27"/>
      <c r="I27"/>
      <c r="J27"/>
    </row>
    <row r="28" spans="1:18">
      <c r="A28"/>
      <c r="B28"/>
      <c r="C28"/>
      <c r="D28"/>
      <c r="E28"/>
      <c r="F28"/>
      <c r="G28"/>
      <c r="H28"/>
      <c r="I28"/>
      <c r="J28"/>
    </row>
    <row r="29" spans="1:18">
      <c r="A29"/>
      <c r="B29"/>
      <c r="C29"/>
      <c r="D29"/>
      <c r="E29"/>
      <c r="F29"/>
      <c r="G29"/>
      <c r="H29"/>
      <c r="I29" s="473"/>
      <c r="J29" s="473"/>
      <c r="K29" s="472"/>
    </row>
    <row r="30" spans="1:18">
      <c r="A30"/>
      <c r="B30"/>
      <c r="C30"/>
      <c r="D30"/>
      <c r="E30"/>
      <c r="F30"/>
      <c r="G30"/>
      <c r="H30"/>
      <c r="I30" s="473"/>
      <c r="J30" s="473"/>
      <c r="K30" s="472"/>
    </row>
    <row r="31" spans="1:18">
      <c r="A31"/>
      <c r="B31"/>
      <c r="C31"/>
      <c r="D31"/>
      <c r="E31"/>
      <c r="F31"/>
      <c r="G31"/>
      <c r="H31"/>
      <c r="I31" s="473"/>
      <c r="J31" s="473"/>
      <c r="K31" s="472"/>
    </row>
    <row r="32" spans="1:18">
      <c r="A32"/>
      <c r="B32"/>
      <c r="C32"/>
      <c r="D32"/>
      <c r="E32"/>
      <c r="F32"/>
      <c r="G32"/>
      <c r="H32"/>
      <c r="I32" s="473"/>
      <c r="J32" s="473"/>
      <c r="K32" s="472"/>
    </row>
    <row r="33" spans="1:11">
      <c r="A33"/>
      <c r="B33"/>
      <c r="C33"/>
      <c r="D33"/>
      <c r="E33"/>
      <c r="F33"/>
      <c r="G33"/>
      <c r="H33"/>
      <c r="I33" s="473"/>
      <c r="J33" s="473"/>
      <c r="K33" s="472"/>
    </row>
    <row r="34" spans="1:11">
      <c r="A34"/>
      <c r="B34"/>
      <c r="C34"/>
      <c r="D34"/>
      <c r="E34"/>
      <c r="F34"/>
      <c r="G34"/>
      <c r="H34"/>
      <c r="I34"/>
      <c r="J34"/>
    </row>
    <row r="35" spans="1:11">
      <c r="A35"/>
      <c r="B35"/>
      <c r="C35"/>
      <c r="D35"/>
      <c r="E35"/>
      <c r="F35"/>
      <c r="G35"/>
      <c r="H35"/>
      <c r="I35"/>
      <c r="J35"/>
    </row>
    <row r="36" spans="1:11">
      <c r="A36"/>
      <c r="B36"/>
      <c r="C36"/>
      <c r="D36"/>
      <c r="E36"/>
      <c r="F36"/>
      <c r="G36"/>
      <c r="H36"/>
      <c r="I36"/>
      <c r="J36"/>
    </row>
    <row r="37" spans="1:11">
      <c r="A37"/>
      <c r="B37"/>
      <c r="C37"/>
      <c r="D37"/>
      <c r="E37"/>
      <c r="F37"/>
      <c r="G37"/>
      <c r="H37"/>
      <c r="I37"/>
      <c r="J37"/>
    </row>
    <row r="38" spans="1:11">
      <c r="A38"/>
      <c r="B38"/>
      <c r="C38"/>
      <c r="D38"/>
      <c r="E38"/>
      <c r="F38"/>
      <c r="G38"/>
      <c r="H38"/>
      <c r="I38"/>
      <c r="J38"/>
    </row>
    <row r="39" spans="1:11">
      <c r="A39"/>
      <c r="B39"/>
      <c r="C39"/>
      <c r="D39"/>
      <c r="E39"/>
      <c r="F39"/>
      <c r="G39"/>
      <c r="H39"/>
      <c r="I39"/>
      <c r="J39"/>
    </row>
    <row r="40" spans="1:11">
      <c r="A40"/>
      <c r="B40"/>
      <c r="C40"/>
      <c r="D40"/>
      <c r="E40"/>
      <c r="F40"/>
      <c r="G40"/>
      <c r="H40"/>
      <c r="I40"/>
      <c r="J40"/>
    </row>
    <row r="41" spans="1:11">
      <c r="A41"/>
      <c r="B41"/>
      <c r="C41"/>
      <c r="D41"/>
      <c r="E41"/>
      <c r="F41"/>
      <c r="G41"/>
      <c r="H41"/>
      <c r="I41"/>
      <c r="J41"/>
    </row>
    <row r="42" spans="1:11">
      <c r="A42"/>
      <c r="B42"/>
      <c r="C42"/>
      <c r="D42"/>
      <c r="E42"/>
      <c r="F42"/>
      <c r="G42"/>
      <c r="H42"/>
      <c r="I42"/>
      <c r="J42"/>
    </row>
    <row r="43" spans="1:11">
      <c r="A43"/>
      <c r="B43"/>
      <c r="C43"/>
      <c r="D43"/>
      <c r="E43"/>
      <c r="F43"/>
      <c r="G43"/>
      <c r="H43"/>
      <c r="I43"/>
      <c r="J43"/>
    </row>
    <row r="44" spans="1:11">
      <c r="A44"/>
      <c r="B44"/>
      <c r="C44"/>
      <c r="D44"/>
      <c r="E44"/>
      <c r="F44"/>
      <c r="G44"/>
      <c r="H44"/>
      <c r="I44"/>
      <c r="J44"/>
    </row>
    <row r="45" spans="1:11">
      <c r="A45"/>
      <c r="B45"/>
      <c r="C45"/>
      <c r="D45"/>
      <c r="E45"/>
      <c r="F45"/>
      <c r="G45"/>
      <c r="H45"/>
      <c r="I45"/>
      <c r="J45"/>
    </row>
    <row r="46" spans="1:11">
      <c r="A46"/>
      <c r="B46"/>
      <c r="C46"/>
      <c r="D46"/>
      <c r="E46"/>
      <c r="F46"/>
      <c r="G46"/>
      <c r="H46"/>
      <c r="I46"/>
      <c r="J46"/>
    </row>
    <row r="47" spans="1:11">
      <c r="A47"/>
      <c r="B47"/>
      <c r="C47"/>
      <c r="D47"/>
      <c r="E47"/>
      <c r="F47"/>
      <c r="G47"/>
      <c r="H47"/>
      <c r="I47"/>
      <c r="J47"/>
    </row>
    <row r="48" spans="1:11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 s="70"/>
      <c r="B52" s="69"/>
      <c r="C52" s="69"/>
      <c r="D52" s="69"/>
      <c r="E52" s="69"/>
      <c r="F52" s="69"/>
    </row>
    <row r="53" spans="1:10">
      <c r="A53" s="70"/>
      <c r="B53" s="69"/>
      <c r="C53" s="69"/>
      <c r="D53" s="69"/>
      <c r="E53" s="69"/>
      <c r="F53" s="69"/>
    </row>
  </sheetData>
  <mergeCells count="1">
    <mergeCell ref="B27:E27"/>
  </mergeCells>
  <printOptions horizontalCentered="1"/>
  <pageMargins left="0.75" right="0.75" top="1" bottom="1" header="0.5" footer="0.5"/>
  <pageSetup scale="39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AC60"/>
  <sheetViews>
    <sheetView zoomScale="90" zoomScaleNormal="90" workbookViewId="0">
      <selection activeCell="M26" sqref="M26"/>
    </sheetView>
  </sheetViews>
  <sheetFormatPr defaultColWidth="9.140625" defaultRowHeight="12.75" outlineLevelRow="1"/>
  <cols>
    <col min="1" max="1" width="47.5703125" style="109" customWidth="1"/>
    <col min="2" max="2" width="15.85546875" style="68" bestFit="1" customWidth="1"/>
    <col min="3" max="3" width="13.85546875" style="68" customWidth="1"/>
    <col min="4" max="4" width="15" style="68" customWidth="1"/>
    <col min="5" max="7" width="12.85546875" style="68" customWidth="1"/>
    <col min="8" max="8" width="15.42578125" style="68" customWidth="1"/>
    <col min="9" max="10" width="14" style="68" customWidth="1"/>
    <col min="11" max="11" width="14.140625" style="68" customWidth="1"/>
    <col min="12" max="13" width="13.42578125" style="68" bestFit="1" customWidth="1"/>
    <col min="14" max="14" width="15.140625" style="68" customWidth="1"/>
    <col min="15" max="15" width="14.85546875" style="109" customWidth="1"/>
    <col min="16" max="17" width="12.140625" style="109" bestFit="1" customWidth="1"/>
    <col min="18" max="18" width="10.5703125" style="109" bestFit="1" customWidth="1"/>
    <col min="19" max="19" width="9.85546875" style="109" bestFit="1" customWidth="1"/>
    <col min="20" max="28" width="9.140625" style="109"/>
    <col min="29" max="29" width="10.5703125" style="109" bestFit="1" customWidth="1"/>
    <col min="30" max="16384" width="9.140625" style="109"/>
  </cols>
  <sheetData>
    <row r="1" spans="1:29">
      <c r="B1" s="767" t="s">
        <v>76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29" s="92" customFormat="1" ht="15">
      <c r="B2" s="118">
        <f>'Summary Normalization'!B2</f>
        <v>44197</v>
      </c>
      <c r="C2" s="118">
        <f>'Summary Normalization'!C2</f>
        <v>44228</v>
      </c>
      <c r="D2" s="118">
        <f>'Summary Normalization'!D2</f>
        <v>44256</v>
      </c>
      <c r="E2" s="118">
        <f>'Summary Normalization'!E2</f>
        <v>44287</v>
      </c>
      <c r="F2" s="118">
        <f>'Summary Normalization'!F2</f>
        <v>44317</v>
      </c>
      <c r="G2" s="118">
        <f>'Summary Normalization'!G2</f>
        <v>44348</v>
      </c>
      <c r="H2" s="119">
        <f>'Summary Normalization'!H2</f>
        <v>44013</v>
      </c>
      <c r="I2" s="119">
        <f>'Summary Normalization'!I2</f>
        <v>44044</v>
      </c>
      <c r="J2" s="119">
        <f>'Summary Normalization'!J2</f>
        <v>44075</v>
      </c>
      <c r="K2" s="119">
        <f>'Summary Normalization'!K2</f>
        <v>44105</v>
      </c>
      <c r="L2" s="119">
        <f>'Summary Normalization'!L2</f>
        <v>44136</v>
      </c>
      <c r="M2" s="118">
        <f>'Summary Normalization'!M2</f>
        <v>44166</v>
      </c>
      <c r="N2" s="117" t="s">
        <v>89</v>
      </c>
    </row>
    <row r="3" spans="1:29">
      <c r="A3" s="145" t="s">
        <v>90</v>
      </c>
      <c r="B3" s="148" t="s">
        <v>486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O3" s="135" t="s">
        <v>91</v>
      </c>
    </row>
    <row r="4" spans="1:29">
      <c r="A4" s="109" t="s">
        <v>92</v>
      </c>
      <c r="B4" s="768">
        <f>'EA Database'!C55</f>
        <v>17252.900000000001</v>
      </c>
      <c r="C4" s="768">
        <f>'EA Database'!D55</f>
        <v>19751.099999999999</v>
      </c>
      <c r="D4" s="768">
        <f>'EA Database'!E55</f>
        <v>21280.11</v>
      </c>
      <c r="E4" s="768">
        <f>'EA Database'!F55</f>
        <v>20236.89</v>
      </c>
      <c r="F4" s="768">
        <f>'EA Database'!G55</f>
        <v>27400</v>
      </c>
      <c r="G4" s="768">
        <f>'EA Database'!H55</f>
        <v>25682</v>
      </c>
      <c r="H4" s="768">
        <f>'EA Database'!I55</f>
        <v>16694</v>
      </c>
      <c r="I4" s="768">
        <f>'EA Database'!J55</f>
        <v>3375</v>
      </c>
      <c r="J4" s="768">
        <f>'EA Database'!K55</f>
        <v>4291</v>
      </c>
      <c r="K4" s="768">
        <f>'EA Database'!L55</f>
        <v>16480.55</v>
      </c>
      <c r="L4" s="768">
        <f>'EA Database'!M55</f>
        <v>21950.45</v>
      </c>
      <c r="M4" s="768">
        <f>'EA Database'!N55</f>
        <v>23017.599999999999</v>
      </c>
      <c r="N4" s="138">
        <f>SUM(B4:M4)</f>
        <v>217411.6</v>
      </c>
      <c r="O4" s="135">
        <f>'EA Database'!O55-N4</f>
        <v>0</v>
      </c>
    </row>
    <row r="5" spans="1:29">
      <c r="A5" s="109" t="s">
        <v>93</v>
      </c>
      <c r="B5" s="768">
        <f>'EA Database'!C56</f>
        <v>37871.300000000003</v>
      </c>
      <c r="C5" s="768">
        <f>'EA Database'!D56</f>
        <v>24716.6</v>
      </c>
      <c r="D5" s="768">
        <f>'EA Database'!E56</f>
        <v>15423.6</v>
      </c>
      <c r="E5" s="768">
        <f>'EA Database'!F56</f>
        <v>15308.9</v>
      </c>
      <c r="F5" s="768">
        <f>'EA Database'!G56</f>
        <v>15479.8</v>
      </c>
      <c r="G5" s="768">
        <f>'EA Database'!H56</f>
        <v>49441.1</v>
      </c>
      <c r="H5" s="768">
        <f>'EA Database'!I56</f>
        <v>39825.9</v>
      </c>
      <c r="I5" s="768">
        <f>'EA Database'!J56</f>
        <v>21613</v>
      </c>
      <c r="J5" s="768">
        <f>'EA Database'!K56</f>
        <v>20960.400000000001</v>
      </c>
      <c r="K5" s="768">
        <f>'EA Database'!L56</f>
        <v>49058.9</v>
      </c>
      <c r="L5" s="768">
        <f>'EA Database'!M56</f>
        <v>47164.1</v>
      </c>
      <c r="M5" s="768">
        <f>'EA Database'!N56</f>
        <v>27448</v>
      </c>
      <c r="N5" s="138">
        <f>SUM(B5:M5)</f>
        <v>364311.6</v>
      </c>
      <c r="O5" s="135">
        <f>'EA Database'!O56-N5</f>
        <v>0</v>
      </c>
    </row>
    <row r="6" spans="1:29">
      <c r="A6" s="109" t="s">
        <v>94</v>
      </c>
      <c r="B6" s="768">
        <f>'EA Database'!C57</f>
        <v>30916.5</v>
      </c>
      <c r="C6" s="768">
        <f>'EA Database'!D57</f>
        <v>15497.1</v>
      </c>
      <c r="D6" s="768">
        <f>'EA Database'!E57</f>
        <v>12709.9</v>
      </c>
      <c r="E6" s="768">
        <f>'EA Database'!F57</f>
        <v>13128.5</v>
      </c>
      <c r="F6" s="768">
        <f>'EA Database'!G57</f>
        <v>22356.7</v>
      </c>
      <c r="G6" s="768">
        <f>'EA Database'!H57</f>
        <v>54904.9</v>
      </c>
      <c r="H6" s="768">
        <f>'EA Database'!I57</f>
        <v>40836</v>
      </c>
      <c r="I6" s="768">
        <f>'EA Database'!J57</f>
        <v>17802.3</v>
      </c>
      <c r="J6" s="768">
        <f>'EA Database'!K57</f>
        <v>33646.9</v>
      </c>
      <c r="K6" s="768">
        <f>'EA Database'!L57</f>
        <v>49670</v>
      </c>
      <c r="L6" s="768">
        <f>'EA Database'!M57</f>
        <v>40260.400000000001</v>
      </c>
      <c r="M6" s="768">
        <f>'EA Database'!N57</f>
        <v>24219.9</v>
      </c>
      <c r="N6" s="138">
        <f>SUM(B6:M6)</f>
        <v>355949.10000000003</v>
      </c>
      <c r="O6" s="135">
        <f>'EA Database'!O57-N6</f>
        <v>0</v>
      </c>
    </row>
    <row r="7" spans="1:29">
      <c r="A7" s="109" t="s">
        <v>95</v>
      </c>
      <c r="B7" s="768">
        <f>'EA Database'!C23</f>
        <v>366183</v>
      </c>
      <c r="C7" s="768">
        <f>'EA Database'!D23</f>
        <v>299979</v>
      </c>
      <c r="D7" s="768">
        <f>'EA Database'!E23</f>
        <v>217891</v>
      </c>
      <c r="E7" s="768">
        <f>'EA Database'!F23</f>
        <v>250215</v>
      </c>
      <c r="F7" s="768">
        <f>'EA Database'!G23</f>
        <v>375905.23485000001</v>
      </c>
      <c r="G7" s="768">
        <f>'EA Database'!H23</f>
        <v>387766</v>
      </c>
      <c r="H7" s="768">
        <f>'EA Database'!I23</f>
        <v>417906</v>
      </c>
      <c r="I7" s="768">
        <f>'EA Database'!J23</f>
        <v>355828</v>
      </c>
      <c r="J7" s="768">
        <f>'EA Database'!K23</f>
        <v>230163</v>
      </c>
      <c r="K7" s="768">
        <f>'EA Database'!L23</f>
        <v>227485</v>
      </c>
      <c r="L7" s="768">
        <f>'EA Database'!M23</f>
        <v>325007</v>
      </c>
      <c r="M7" s="768">
        <f>'EA Database'!N23</f>
        <v>308447</v>
      </c>
      <c r="N7" s="138">
        <f>SUM(B7:M7)</f>
        <v>3762775.2348500001</v>
      </c>
      <c r="O7" s="135">
        <f>'EA Database'!O23-N7</f>
        <v>0</v>
      </c>
    </row>
    <row r="8" spans="1:29">
      <c r="A8" s="143" t="s">
        <v>96</v>
      </c>
      <c r="B8" s="768">
        <f>'EA Database'!C24</f>
        <v>-9880</v>
      </c>
      <c r="C8" s="768">
        <f>'EA Database'!D24</f>
        <v>-9042</v>
      </c>
      <c r="D8" s="768">
        <f>'EA Database'!E24</f>
        <v>-10209</v>
      </c>
      <c r="E8" s="768">
        <f>'EA Database'!F24</f>
        <v>-9880</v>
      </c>
      <c r="F8" s="768">
        <f>'EA Database'!G24</f>
        <v>-9880</v>
      </c>
      <c r="G8" s="768">
        <f>'EA Database'!H24</f>
        <v>-9880</v>
      </c>
      <c r="H8" s="768">
        <f>'EA Database'!I24</f>
        <v>-10260</v>
      </c>
      <c r="I8" s="768">
        <f>'EA Database'!J24</f>
        <v>-9880</v>
      </c>
      <c r="J8" s="768">
        <f>'EA Database'!K24</f>
        <v>-9880</v>
      </c>
      <c r="K8" s="768">
        <f>'EA Database'!L24</f>
        <v>-10260</v>
      </c>
      <c r="L8" s="768">
        <f>'EA Database'!M24</f>
        <v>-9500</v>
      </c>
      <c r="M8" s="768">
        <f>'EA Database'!N24</f>
        <v>-10260</v>
      </c>
      <c r="N8" s="138">
        <f>SUM(B8:M8)</f>
        <v>-118811</v>
      </c>
      <c r="O8" s="135">
        <f>'EA Database'!O24-N8</f>
        <v>0</v>
      </c>
    </row>
    <row r="9" spans="1:29" ht="13.5" thickBot="1">
      <c r="A9" s="146" t="s">
        <v>97</v>
      </c>
      <c r="B9" s="129">
        <f t="shared" ref="B9:N9" si="0">SUM(B4:B8)</f>
        <v>442343.7</v>
      </c>
      <c r="C9" s="129">
        <f t="shared" si="0"/>
        <v>350901.8</v>
      </c>
      <c r="D9" s="129">
        <f t="shared" si="0"/>
        <v>257095.61</v>
      </c>
      <c r="E9" s="129">
        <f t="shared" si="0"/>
        <v>289009.28999999998</v>
      </c>
      <c r="F9" s="129">
        <f t="shared" si="0"/>
        <v>431261.73485000001</v>
      </c>
      <c r="G9" s="129">
        <f t="shared" si="0"/>
        <v>507914</v>
      </c>
      <c r="H9" s="129">
        <f t="shared" si="0"/>
        <v>505001.9</v>
      </c>
      <c r="I9" s="129">
        <f t="shared" si="0"/>
        <v>388738.3</v>
      </c>
      <c r="J9" s="129">
        <f t="shared" si="0"/>
        <v>279181.3</v>
      </c>
      <c r="K9" s="129">
        <f t="shared" si="0"/>
        <v>332434.45</v>
      </c>
      <c r="L9" s="129">
        <f t="shared" si="0"/>
        <v>424881.95</v>
      </c>
      <c r="M9" s="129">
        <f t="shared" si="0"/>
        <v>372872.5</v>
      </c>
      <c r="N9" s="129">
        <f t="shared" si="0"/>
        <v>4581636.5348500004</v>
      </c>
      <c r="O9" s="123">
        <v>0</v>
      </c>
    </row>
    <row r="10" spans="1:29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43"/>
    </row>
    <row r="11" spans="1:29">
      <c r="A11" s="145" t="s">
        <v>98</v>
      </c>
      <c r="B11" s="144" t="s">
        <v>485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43"/>
    </row>
    <row r="12" spans="1:29" outlineLevel="1">
      <c r="A12" s="140" t="s">
        <v>99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O12" s="139" t="s">
        <v>91</v>
      </c>
    </row>
    <row r="13" spans="1:29" outlineLevel="1">
      <c r="A13" s="109" t="s">
        <v>100</v>
      </c>
      <c r="B13" s="477">
        <f>'PKW-WP ENERG'!I55</f>
        <v>60540.94</v>
      </c>
      <c r="C13" s="477">
        <f>'PKW-WP ENERG'!J55</f>
        <v>52857.19</v>
      </c>
      <c r="D13" s="477">
        <f>'PKW-WP ENERG'!K55</f>
        <v>50603.816400000003</v>
      </c>
      <c r="E13" s="477">
        <f>'PKW-WP ENERG'!L55</f>
        <v>51248.417999999998</v>
      </c>
      <c r="F13" s="477">
        <f>'PKW-WP ENERG'!M55</f>
        <v>62234.804700000001</v>
      </c>
      <c r="G13" s="477">
        <f>'PKW-WP ENERG'!N55</f>
        <v>62204.5</v>
      </c>
      <c r="H13" s="476">
        <f>'PKW-WP ENERG'!O48</f>
        <v>58875.974999999999</v>
      </c>
      <c r="I13" s="476">
        <f>'PKW-WP ENERG'!P48</f>
        <v>53935.275000000001</v>
      </c>
      <c r="J13" s="476">
        <f>'PKW-WP ENERG'!Q48</f>
        <v>35856</v>
      </c>
      <c r="K13" s="476">
        <f>14/31*'PKW-WP ENERG'!R48+17/31*'PKW-WP ENERG'!R55</f>
        <v>40947.75</v>
      </c>
      <c r="L13" s="476">
        <f>'PKW-WP ENERG'!S55</f>
        <v>52704.593800000002</v>
      </c>
      <c r="M13" s="476">
        <f>'PKW-WP ENERG'!T55</f>
        <v>57087.906300000002</v>
      </c>
      <c r="N13" s="138">
        <f>SUM(B13:M13)</f>
        <v>639097.16920000012</v>
      </c>
      <c r="O13" s="123"/>
      <c r="P13" s="122"/>
      <c r="Q13" s="134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22"/>
    </row>
    <row r="14" spans="1:29" outlineLevel="1">
      <c r="A14" s="109" t="s">
        <v>101</v>
      </c>
      <c r="B14" s="477">
        <f>'PKW-WP ENERG'!I56</f>
        <v>147919.359</v>
      </c>
      <c r="C14" s="477">
        <f>'PKW-WP ENERG'!J56</f>
        <v>125463.56299999999</v>
      </c>
      <c r="D14" s="477">
        <f>'PKW-WP ENERG'!K56</f>
        <v>116105</v>
      </c>
      <c r="E14" s="477">
        <f>'PKW-WP ENERG'!L56</f>
        <v>126773.859</v>
      </c>
      <c r="F14" s="477">
        <f>'PKW-WP ENERG'!M56</f>
        <v>170374.734</v>
      </c>
      <c r="G14" s="477">
        <f>'PKW-WP ENERG'!N56</f>
        <v>171800.141</v>
      </c>
      <c r="H14" s="476">
        <f>'PKW-WP ENERG'!O49</f>
        <v>150136.875</v>
      </c>
      <c r="I14" s="476">
        <f>'PKW-WP ENERG'!P49</f>
        <v>130571.625</v>
      </c>
      <c r="J14" s="476">
        <f>'PKW-WP ENERG'!Q49</f>
        <v>76871.25</v>
      </c>
      <c r="K14" s="476">
        <f>14/31*'PKW-WP ENERG'!R49+17/31*'PKW-WP ENERG'!R56</f>
        <v>88654.95</v>
      </c>
      <c r="L14" s="476">
        <f>'PKW-WP ENERG'!S56</f>
        <v>118981.57</v>
      </c>
      <c r="M14" s="476">
        <f>'PKW-WP ENERG'!T56</f>
        <v>129267.539</v>
      </c>
      <c r="N14" s="138">
        <f>SUM(B14:M14)</f>
        <v>1552920.4650000001</v>
      </c>
      <c r="O14" s="123"/>
      <c r="P14" s="122"/>
      <c r="Q14" s="134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22"/>
    </row>
    <row r="15" spans="1:29" outlineLevel="1">
      <c r="A15" s="109" t="s">
        <v>484</v>
      </c>
      <c r="B15" s="477">
        <f>'PKW-WP ENERG'!I57</f>
        <v>30438.353500000001</v>
      </c>
      <c r="C15" s="477">
        <f>'PKW-WP ENERG'!J57</f>
        <v>26502.337899999999</v>
      </c>
      <c r="D15" s="477">
        <f>'PKW-WP ENERG'!K57</f>
        <v>55022.99</v>
      </c>
      <c r="E15" s="477">
        <f>'PKW-WP ENERG'!L57</f>
        <v>61146.992200000001</v>
      </c>
      <c r="F15" s="477">
        <f>'PKW-WP ENERG'!M57</f>
        <v>96684.414099999995</v>
      </c>
      <c r="G15" s="477">
        <f>'PKW-WP ENERG'!N57</f>
        <v>99886.63</v>
      </c>
      <c r="H15" s="476">
        <f>'PKW-WP ENERG'!O50</f>
        <v>125567.77043999999</v>
      </c>
      <c r="I15" s="476">
        <f>'PKW-WP ENERG'!P50</f>
        <v>112324.13913</v>
      </c>
      <c r="J15" s="476">
        <f>'PKW-WP ENERG'!Q50</f>
        <v>79410.384900000005</v>
      </c>
      <c r="K15" s="476">
        <f>14/31*'PKW-WP ENERG'!R50+17/31*'PKW-WP ENERG'!R57</f>
        <v>69564.900806451609</v>
      </c>
      <c r="L15" s="476">
        <f>'PKW-WP ENERG'!S57</f>
        <v>69775.34</v>
      </c>
      <c r="M15" s="476">
        <f>'PKW-WP ENERG'!T57</f>
        <v>40423.453099999999</v>
      </c>
      <c r="N15" s="138">
        <f>SUM(B15:M15)</f>
        <v>866747.70607645158</v>
      </c>
      <c r="O15" s="123"/>
      <c r="P15" s="122"/>
      <c r="Q15" s="134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22"/>
    </row>
    <row r="16" spans="1:29" outlineLevel="1">
      <c r="A16" s="109" t="s">
        <v>483</v>
      </c>
      <c r="B16" s="477">
        <f>'PKW-WP ENERG'!I58</f>
        <v>1263.43</v>
      </c>
      <c r="C16" s="477">
        <f>'PKW-WP ENERG'!J58</f>
        <v>1005.49854</v>
      </c>
      <c r="D16" s="477">
        <f>'PKW-WP ENERG'!K58</f>
        <v>1793.2737999999999</v>
      </c>
      <c r="E16" s="477">
        <f>'PKW-WP ENERG'!L58</f>
        <v>1853.9461699999999</v>
      </c>
      <c r="F16" s="477">
        <f>'PKW-WP ENERG'!M58</f>
        <v>18112.773399999998</v>
      </c>
      <c r="G16" s="477">
        <f>'PKW-WP ENERG'!N58</f>
        <v>19280.597699999998</v>
      </c>
      <c r="H16" s="476">
        <f>'PKW-WP ENERG'!O51</f>
        <v>2698.2796800000001</v>
      </c>
      <c r="I16" s="476">
        <f>'PKW-WP ENERG'!P51</f>
        <v>2281.6320000000001</v>
      </c>
      <c r="J16" s="476">
        <f>'PKW-WP ENERG'!Q51</f>
        <v>1664.4672</v>
      </c>
      <c r="K16" s="476">
        <f>14/31*'PKW-WP ENERG'!R51+17/31*'PKW-WP ENERG'!R58</f>
        <v>8763.405627096774</v>
      </c>
      <c r="L16" s="476">
        <f>'PKW-WP ENERG'!S58</f>
        <v>18715.1816</v>
      </c>
      <c r="M16" s="476">
        <f>'PKW-WP ENERG'!T58</f>
        <v>19408.82</v>
      </c>
      <c r="N16" s="138">
        <f>SUM(B16:M16)</f>
        <v>96841.305717096751</v>
      </c>
      <c r="O16" s="123"/>
      <c r="P16" s="122"/>
      <c r="Q16" s="134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22"/>
    </row>
    <row r="17" spans="1:29" outlineLevel="1">
      <c r="A17" s="109" t="s">
        <v>482</v>
      </c>
      <c r="B17" s="477">
        <f>'PKW-WP ENERG'!I59</f>
        <v>1419.2916299999999</v>
      </c>
      <c r="C17" s="477">
        <f>'PKW-WP ENERG'!J59</f>
        <v>1193.8843999999999</v>
      </c>
      <c r="D17" s="477">
        <f>'PKW-WP ENERG'!K59</f>
        <v>1872.3589999999999</v>
      </c>
      <c r="E17" s="477">
        <f>'PKW-WP ENERG'!L59</f>
        <v>2066.9140000000002</v>
      </c>
      <c r="F17" s="477">
        <f>'PKW-WP ENERG'!M59</f>
        <v>21486.623</v>
      </c>
      <c r="G17" s="477">
        <f>'PKW-WP ENERG'!N59</f>
        <v>23281.0488</v>
      </c>
      <c r="H17" s="476">
        <f>'PKW-WP ENERG'!O52</f>
        <v>3017.7830399999998</v>
      </c>
      <c r="I17" s="476">
        <f>'PKW-WP ENERG'!P52</f>
        <v>2697.8361600000003</v>
      </c>
      <c r="J17" s="476">
        <f>'PKW-WP ENERG'!Q52</f>
        <v>1638.8352</v>
      </c>
      <c r="K17" s="476">
        <f>14/31*'PKW-WP ENERG'!R52+17/31*'PKW-WP ENERG'!R59</f>
        <v>8870.5030206451611</v>
      </c>
      <c r="L17" s="476">
        <f>'PKW-WP ENERG'!S59</f>
        <v>19176.150000000001</v>
      </c>
      <c r="M17" s="476">
        <f>'PKW-WP ENERG'!T59</f>
        <v>20186.6875</v>
      </c>
      <c r="N17" s="138">
        <f>SUM(B17:M17)</f>
        <v>106907.91575064516</v>
      </c>
      <c r="O17" s="123"/>
      <c r="Q17" s="134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22"/>
    </row>
    <row r="18" spans="1:29" outlineLevel="1">
      <c r="A18" s="131" t="s">
        <v>102</v>
      </c>
      <c r="B18" s="142">
        <f t="shared" ref="B18:N18" si="1">SUM(B13:B17)</f>
        <v>241581.37412999998</v>
      </c>
      <c r="C18" s="142">
        <f t="shared" si="1"/>
        <v>207022.47384000002</v>
      </c>
      <c r="D18" s="142">
        <f t="shared" si="1"/>
        <v>225397.43919999999</v>
      </c>
      <c r="E18" s="142">
        <f t="shared" si="1"/>
        <v>243090.12937000001</v>
      </c>
      <c r="F18" s="142">
        <f t="shared" si="1"/>
        <v>368893.3492</v>
      </c>
      <c r="G18" s="142">
        <f t="shared" si="1"/>
        <v>376452.91749999998</v>
      </c>
      <c r="H18" s="142">
        <f t="shared" si="1"/>
        <v>340296.68315999996</v>
      </c>
      <c r="I18" s="142">
        <f t="shared" si="1"/>
        <v>301810.50728999998</v>
      </c>
      <c r="J18" s="142">
        <f t="shared" si="1"/>
        <v>195440.93730000002</v>
      </c>
      <c r="K18" s="142">
        <f t="shared" si="1"/>
        <v>216801.50945419353</v>
      </c>
      <c r="L18" s="142">
        <f t="shared" si="1"/>
        <v>279352.83540000004</v>
      </c>
      <c r="M18" s="142">
        <f t="shared" si="1"/>
        <v>266374.40590000001</v>
      </c>
      <c r="N18" s="142">
        <f t="shared" si="1"/>
        <v>3262514.5617441935</v>
      </c>
      <c r="O18" s="123"/>
      <c r="P18" s="122"/>
      <c r="Q18" s="134"/>
      <c r="R18" s="133"/>
      <c r="S18" s="132"/>
    </row>
    <row r="19" spans="1:29" outlineLevel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23"/>
      <c r="P19" s="122"/>
      <c r="R19" s="479"/>
      <c r="S19" s="132"/>
    </row>
    <row r="20" spans="1:29" outlineLevel="1">
      <c r="A20" s="109" t="s">
        <v>481</v>
      </c>
      <c r="B20" s="141">
        <f>'CEA Forecast'!B11</f>
        <v>-9802.6239999999998</v>
      </c>
      <c r="C20" s="141">
        <f>'CEA Forecast'!C11</f>
        <v>-9048.5759999999991</v>
      </c>
      <c r="D20" s="141">
        <f>'CEA Forecast'!D11</f>
        <v>-11664</v>
      </c>
      <c r="E20" s="141">
        <f>'CEA Forecast'!E11</f>
        <v>-11232</v>
      </c>
      <c r="F20" s="141">
        <f>'CEA Forecast'!F11</f>
        <v>-12064</v>
      </c>
      <c r="G20" s="141">
        <f>'CEA Forecast'!G11</f>
        <v>-12002.015600000001</v>
      </c>
      <c r="H20" s="138">
        <f>'CEA Forecast'!H7</f>
        <v>-14863.459999999983</v>
      </c>
      <c r="I20" s="138">
        <f>'CEA Forecast'!I7</f>
        <v>-15435.129999999985</v>
      </c>
      <c r="J20" s="138">
        <f>'CEA Forecast'!J7</f>
        <v>-9479.2469999999848</v>
      </c>
      <c r="K20" s="138">
        <f>14/31*'CEA Forecast'!K7+17/31*'CEA Forecast'!K11</f>
        <v>-11256.718064516128</v>
      </c>
      <c r="L20" s="138">
        <f>'CEA Forecast'!L11</f>
        <v>-11334.4</v>
      </c>
      <c r="M20" s="138">
        <f>'CEA Forecast'!M11</f>
        <v>-10728.2881</v>
      </c>
      <c r="N20" s="138">
        <f>SUM(B20:M20)</f>
        <v>-138910.45876451608</v>
      </c>
      <c r="O20" s="123"/>
      <c r="P20" s="122"/>
      <c r="Q20" s="134"/>
      <c r="R20" s="133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1:29" outlineLevel="1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Q21" s="134"/>
      <c r="R21" s="133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</row>
    <row r="22" spans="1:29" outlineLevel="1">
      <c r="A22" s="140" t="s">
        <v>103</v>
      </c>
      <c r="O22" s="139" t="s">
        <v>91</v>
      </c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</row>
    <row r="23" spans="1:29" outlineLevel="1">
      <c r="A23" s="109" t="s">
        <v>92</v>
      </c>
      <c r="B23" s="477">
        <f>'BAGE &amp; SAGE'!C48</f>
        <v>26801.829778504991</v>
      </c>
      <c r="C23" s="477">
        <f>'BAGE &amp; SAGE'!D48</f>
        <v>23621.220703103372</v>
      </c>
      <c r="D23" s="477">
        <f>'BAGE &amp; SAGE'!E48</f>
        <v>27310.751422118527</v>
      </c>
      <c r="E23" s="477">
        <f>'BAGE &amp; SAGE'!F48</f>
        <v>28604.98399199696</v>
      </c>
      <c r="F23" s="477">
        <f>'BAGE &amp; SAGE'!G48</f>
        <v>26152.668444393603</v>
      </c>
      <c r="G23" s="477">
        <f>'BAGE &amp; SAGE'!H48</f>
        <v>24497.649239495666</v>
      </c>
      <c r="H23" s="476">
        <f>'BAGE &amp; SAGE'!I43</f>
        <v>20255.825494601486</v>
      </c>
      <c r="I23" s="476">
        <f>'BAGE &amp; SAGE'!J43</f>
        <v>8167.7038105764987</v>
      </c>
      <c r="J23" s="476">
        <f>'BAGE &amp; SAGE'!K43</f>
        <v>9813.038117451697</v>
      </c>
      <c r="K23" s="476">
        <f>14/31*'BAGE &amp; SAGE'!L43+17/31*'BAGE &amp; SAGE'!L48</f>
        <v>18057.519364368643</v>
      </c>
      <c r="L23" s="476">
        <f>'BAGE &amp; SAGE'!M48</f>
        <v>26093.166635748526</v>
      </c>
      <c r="M23" s="476">
        <f>'BAGE &amp; SAGE'!N48</f>
        <v>28746.591422821297</v>
      </c>
      <c r="N23" s="138">
        <f>SUM(B23:M23)</f>
        <v>268122.94842518127</v>
      </c>
      <c r="O23" s="135"/>
      <c r="P23" s="122"/>
      <c r="Q23" s="134"/>
      <c r="R23" s="133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</row>
    <row r="24" spans="1:29" outlineLevel="1">
      <c r="A24" s="109" t="s">
        <v>104</v>
      </c>
      <c r="B24" s="477">
        <f>'BAGE &amp; SAGE'!C49</f>
        <v>27019.32408307444</v>
      </c>
      <c r="C24" s="477">
        <f>'BAGE &amp; SAGE'!D49</f>
        <v>20666.15173664565</v>
      </c>
      <c r="D24" s="477">
        <f>'BAGE &amp; SAGE'!E49</f>
        <v>17145.846260319169</v>
      </c>
      <c r="E24" s="477">
        <f>'BAGE &amp; SAGE'!F49</f>
        <v>17112.81631687659</v>
      </c>
      <c r="F24" s="477">
        <f>'BAGE &amp; SAGE'!G49</f>
        <v>31103.950889941356</v>
      </c>
      <c r="G24" s="477">
        <f>'BAGE &amp; SAGE'!H49</f>
        <v>47228.223822705026</v>
      </c>
      <c r="H24" s="476">
        <f>'BAGE &amp; SAGE'!I44</f>
        <v>45973.590755924793</v>
      </c>
      <c r="I24" s="476">
        <f>'BAGE &amp; SAGE'!J44</f>
        <v>31274.453641056596</v>
      </c>
      <c r="J24" s="476">
        <f>'BAGE &amp; SAGE'!K44</f>
        <v>22499.374431974444</v>
      </c>
      <c r="K24" s="476">
        <f>14/31*'BAGE &amp; SAGE'!L44+17/31*'BAGE &amp; SAGE'!L49</f>
        <v>31249.602472886931</v>
      </c>
      <c r="L24" s="478">
        <f>'BAGE &amp; SAGE'!M49</f>
        <v>39079.834190539805</v>
      </c>
      <c r="M24" s="478">
        <f>'BAGE &amp; SAGE'!N49</f>
        <v>31673.003449630331</v>
      </c>
      <c r="N24" s="138">
        <f>SUM(B24:M24)</f>
        <v>362026.17205157509</v>
      </c>
      <c r="O24" s="135"/>
      <c r="P24" s="122"/>
      <c r="Q24" s="134"/>
      <c r="R24" s="133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</row>
    <row r="25" spans="1:29" outlineLevel="1">
      <c r="A25" s="109" t="s">
        <v>94</v>
      </c>
      <c r="B25" s="477">
        <f>'BAGE &amp; SAGE'!C50</f>
        <v>23231.789077668414</v>
      </c>
      <c r="C25" s="477">
        <f>'BAGE &amp; SAGE'!D50</f>
        <v>18871.396366587804</v>
      </c>
      <c r="D25" s="477">
        <f>'BAGE &amp; SAGE'!E50</f>
        <v>19017.863035131915</v>
      </c>
      <c r="E25" s="477">
        <f>'BAGE &amp; SAGE'!F50</f>
        <v>16620.77441078793</v>
      </c>
      <c r="F25" s="477">
        <f>'BAGE &amp; SAGE'!G50</f>
        <v>26207.295523043693</v>
      </c>
      <c r="G25" s="477">
        <f>'BAGE &amp; SAGE'!H50</f>
        <v>37359.946340116898</v>
      </c>
      <c r="H25" s="476">
        <f>'BAGE &amp; SAGE'!I45</f>
        <v>43146.921468778513</v>
      </c>
      <c r="I25" s="476">
        <f>'BAGE &amp; SAGE'!J45</f>
        <v>25769.348489892785</v>
      </c>
      <c r="J25" s="476">
        <f>'BAGE &amp; SAGE'!K45</f>
        <v>21885.378809919657</v>
      </c>
      <c r="K25" s="476">
        <f>14/31*'BAGE &amp; SAGE'!L45+17/31*'BAGE &amp; SAGE'!L50</f>
        <v>34147.432756818154</v>
      </c>
      <c r="L25" s="476">
        <f>'BAGE &amp; SAGE'!M50</f>
        <v>38439.858205688637</v>
      </c>
      <c r="M25" s="476">
        <f>'BAGE &amp; SAGE'!N50</f>
        <v>27120.961367652239</v>
      </c>
      <c r="N25" s="137">
        <f>SUM(B25:M25)</f>
        <v>331818.96585208667</v>
      </c>
      <c r="O25" s="135"/>
      <c r="P25" s="122"/>
      <c r="Q25" s="134"/>
      <c r="R25" s="133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</row>
    <row r="26" spans="1:29" outlineLevel="1">
      <c r="A26" s="131" t="s">
        <v>105</v>
      </c>
      <c r="B26" s="136">
        <f t="shared" ref="B26:N26" si="2">SUM(B23:B25)</f>
        <v>77052.942939247849</v>
      </c>
      <c r="C26" s="136">
        <f t="shared" si="2"/>
        <v>63158.768806336826</v>
      </c>
      <c r="D26" s="136">
        <f t="shared" si="2"/>
        <v>63474.460717569615</v>
      </c>
      <c r="E26" s="136">
        <f t="shared" si="2"/>
        <v>62338.574719661483</v>
      </c>
      <c r="F26" s="136">
        <f t="shared" si="2"/>
        <v>83463.914857378652</v>
      </c>
      <c r="G26" s="136">
        <f t="shared" si="2"/>
        <v>109085.8194023176</v>
      </c>
      <c r="H26" s="136">
        <f t="shared" si="2"/>
        <v>109376.33771930479</v>
      </c>
      <c r="I26" s="136">
        <f t="shared" si="2"/>
        <v>65211.50594152588</v>
      </c>
      <c r="J26" s="136">
        <f t="shared" si="2"/>
        <v>54197.791359345792</v>
      </c>
      <c r="K26" s="136">
        <f t="shared" si="2"/>
        <v>83454.554594073736</v>
      </c>
      <c r="L26" s="136">
        <f t="shared" si="2"/>
        <v>103612.85903197697</v>
      </c>
      <c r="M26" s="136">
        <f t="shared" si="2"/>
        <v>87540.556240103862</v>
      </c>
      <c r="N26" s="114">
        <f t="shared" si="2"/>
        <v>961968.08632884303</v>
      </c>
      <c r="O26" s="135"/>
      <c r="P26" s="122"/>
      <c r="Q26" s="134"/>
      <c r="R26" s="133"/>
      <c r="S26" s="132"/>
    </row>
    <row r="27" spans="1:29" outlineLevel="1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S27" s="122"/>
    </row>
    <row r="28" spans="1:29" ht="13.5" thickBot="1">
      <c r="A28" s="131" t="s">
        <v>106</v>
      </c>
      <c r="B28" s="130">
        <f t="shared" ref="B28:N28" si="3">B18+B20+B26</f>
        <v>308831.69306924782</v>
      </c>
      <c r="C28" s="130">
        <f t="shared" si="3"/>
        <v>261132.66664633685</v>
      </c>
      <c r="D28" s="130">
        <f t="shared" si="3"/>
        <v>277207.89991756959</v>
      </c>
      <c r="E28" s="130">
        <f t="shared" si="3"/>
        <v>294196.70408966148</v>
      </c>
      <c r="F28" s="130">
        <f t="shared" si="3"/>
        <v>440293.26405737863</v>
      </c>
      <c r="G28" s="130">
        <f t="shared" si="3"/>
        <v>473536.72130231757</v>
      </c>
      <c r="H28" s="130">
        <f t="shared" si="3"/>
        <v>434809.56087930477</v>
      </c>
      <c r="I28" s="130">
        <f t="shared" si="3"/>
        <v>351586.88323152583</v>
      </c>
      <c r="J28" s="130">
        <f t="shared" si="3"/>
        <v>240159.48165934585</v>
      </c>
      <c r="K28" s="130">
        <f t="shared" si="3"/>
        <v>288999.34598375112</v>
      </c>
      <c r="L28" s="130">
        <f t="shared" si="3"/>
        <v>371631.29443197697</v>
      </c>
      <c r="M28" s="130">
        <f t="shared" si="3"/>
        <v>343186.67404010386</v>
      </c>
      <c r="N28" s="129">
        <f t="shared" si="3"/>
        <v>4085572.1893085204</v>
      </c>
    </row>
    <row r="31" spans="1:29">
      <c r="A31" s="109" t="s">
        <v>107</v>
      </c>
      <c r="B31" s="115">
        <f t="shared" ref="B31:M31" si="4">B28-B9</f>
        <v>-133512.00693075219</v>
      </c>
      <c r="C31" s="115">
        <f t="shared" si="4"/>
        <v>-89769.133353663143</v>
      </c>
      <c r="D31" s="115">
        <f t="shared" si="4"/>
        <v>20112.289917569607</v>
      </c>
      <c r="E31" s="115">
        <f t="shared" si="4"/>
        <v>5187.414089661499</v>
      </c>
      <c r="F31" s="115">
        <f t="shared" si="4"/>
        <v>9031.5292073786259</v>
      </c>
      <c r="G31" s="115">
        <f t="shared" si="4"/>
        <v>-34377.278697682428</v>
      </c>
      <c r="H31" s="115">
        <f t="shared" si="4"/>
        <v>-70192.339120695251</v>
      </c>
      <c r="I31" s="115">
        <f t="shared" si="4"/>
        <v>-37151.416768474155</v>
      </c>
      <c r="J31" s="115">
        <f t="shared" si="4"/>
        <v>-39021.818340654136</v>
      </c>
      <c r="K31" s="115">
        <f t="shared" si="4"/>
        <v>-43435.104016248893</v>
      </c>
      <c r="L31" s="115">
        <f t="shared" si="4"/>
        <v>-53250.655568023038</v>
      </c>
      <c r="M31" s="115">
        <f t="shared" si="4"/>
        <v>-29685.825959896145</v>
      </c>
      <c r="N31" s="115">
        <f>SUM(B31:M31)</f>
        <v>-496064.34554147965</v>
      </c>
    </row>
    <row r="32" spans="1:29">
      <c r="A32" s="113" t="s">
        <v>108</v>
      </c>
      <c r="B32" s="114">
        <f>B9-B28</f>
        <v>133512.00693075219</v>
      </c>
      <c r="C32" s="114">
        <f t="shared" ref="C32:N32" si="5">-C31</f>
        <v>89769.133353663143</v>
      </c>
      <c r="D32" s="114">
        <f t="shared" si="5"/>
        <v>-20112.289917569607</v>
      </c>
      <c r="E32" s="114">
        <f t="shared" si="5"/>
        <v>-5187.414089661499</v>
      </c>
      <c r="F32" s="114">
        <f t="shared" si="5"/>
        <v>-9031.5292073786259</v>
      </c>
      <c r="G32" s="114">
        <f t="shared" si="5"/>
        <v>34377.278697682428</v>
      </c>
      <c r="H32" s="114">
        <f t="shared" si="5"/>
        <v>70192.339120695251</v>
      </c>
      <c r="I32" s="114">
        <f t="shared" si="5"/>
        <v>37151.416768474155</v>
      </c>
      <c r="J32" s="114">
        <f t="shared" si="5"/>
        <v>39021.818340654136</v>
      </c>
      <c r="K32" s="114">
        <f t="shared" si="5"/>
        <v>43435.104016248893</v>
      </c>
      <c r="L32" s="114">
        <f t="shared" si="5"/>
        <v>53250.655568023038</v>
      </c>
      <c r="M32" s="114">
        <f t="shared" si="5"/>
        <v>29685.825959896145</v>
      </c>
      <c r="N32" s="114">
        <f t="shared" si="5"/>
        <v>496064.34554147965</v>
      </c>
    </row>
    <row r="33" spans="1:18">
      <c r="A33" s="109" t="s">
        <v>109</v>
      </c>
      <c r="B33" s="128">
        <f>+'Load Impact to Cost &amp; Rev'!B5</f>
        <v>26.166627900000002</v>
      </c>
      <c r="C33" s="128">
        <f>+'Load Impact to Cost &amp; Rev'!C5</f>
        <v>25.248548499999998</v>
      </c>
      <c r="D33" s="128">
        <f>+'Load Impact to Cost &amp; Rev'!D5</f>
        <v>19.422534899999999</v>
      </c>
      <c r="E33" s="128">
        <f>+'Load Impact to Cost &amp; Rev'!E5</f>
        <v>15.712296500000001</v>
      </c>
      <c r="F33" s="128">
        <f>+'Load Impact to Cost &amp; Rev'!F5</f>
        <v>8.1115739999999992</v>
      </c>
      <c r="G33" s="128">
        <f>+'Load Impact to Cost &amp; Rev'!G5</f>
        <v>11.432297699999999</v>
      </c>
      <c r="H33" s="128">
        <f>+'Load Impact to Cost &amp; Rev'!H5</f>
        <v>21.182343749999998</v>
      </c>
      <c r="I33" s="128">
        <f>+'Load Impact to Cost &amp; Rev'!I5</f>
        <v>24.540153</v>
      </c>
      <c r="J33" s="128">
        <f>+'Load Impact to Cost &amp; Rev'!J5</f>
        <v>24.166843374999999</v>
      </c>
      <c r="K33" s="128">
        <f>+'Load Impact to Cost &amp; Rev'!K5</f>
        <v>23.564898161290323</v>
      </c>
      <c r="L33" s="128">
        <f>+'Load Impact to Cost &amp; Rev'!L5</f>
        <v>22.771432900000001</v>
      </c>
      <c r="M33" s="128">
        <f>+'Load Impact to Cost &amp; Rev'!M5</f>
        <v>29.9269848</v>
      </c>
      <c r="N33" s="127">
        <f>AVERAGE(B33:M33)</f>
        <v>21.020544623857528</v>
      </c>
      <c r="O33" s="126"/>
      <c r="P33" s="125" t="s">
        <v>79</v>
      </c>
    </row>
    <row r="34" spans="1:18" ht="13.5" thickBot="1">
      <c r="A34" s="111" t="s">
        <v>110</v>
      </c>
      <c r="B34" s="124">
        <f t="shared" ref="B34:M34" si="6">B32*B33</f>
        <v>3493559.0055392138</v>
      </c>
      <c r="C34" s="124">
        <f t="shared" si="6"/>
        <v>2266540.3172829314</v>
      </c>
      <c r="D34" s="124">
        <f t="shared" si="6"/>
        <v>-390631.65284291381</v>
      </c>
      <c r="E34" s="124">
        <f t="shared" si="6"/>
        <v>-81506.188245039055</v>
      </c>
      <c r="F34" s="124">
        <f t="shared" si="6"/>
        <v>-73259.917498813069</v>
      </c>
      <c r="G34" s="124">
        <f t="shared" si="6"/>
        <v>393011.28418777382</v>
      </c>
      <c r="H34" s="124">
        <f t="shared" si="6"/>
        <v>1486838.2558711395</v>
      </c>
      <c r="I34" s="124">
        <f t="shared" si="6"/>
        <v>911701.45166512136</v>
      </c>
      <c r="J34" s="124">
        <f t="shared" si="6"/>
        <v>943034.17204629083</v>
      </c>
      <c r="K34" s="124">
        <f t="shared" si="6"/>
        <v>1023543.8027679574</v>
      </c>
      <c r="L34" s="124">
        <f t="shared" si="6"/>
        <v>1212593.7301482479</v>
      </c>
      <c r="M34" s="124">
        <f t="shared" si="6"/>
        <v>888407.26227725728</v>
      </c>
      <c r="N34" s="124">
        <f>SUM(B34:M34)</f>
        <v>12073831.523199167</v>
      </c>
      <c r="P34" s="123"/>
      <c r="Q34" s="123"/>
      <c r="R34" s="122"/>
    </row>
    <row r="35" spans="1:18" ht="13.5" thickTop="1">
      <c r="B35" s="71">
        <f t="shared" ref="B35:N35" si="7">B60-B34</f>
        <v>0</v>
      </c>
      <c r="C35" s="71">
        <f t="shared" si="7"/>
        <v>0</v>
      </c>
      <c r="D35" s="71">
        <f t="shared" si="7"/>
        <v>0</v>
      </c>
      <c r="E35" s="71">
        <f t="shared" si="7"/>
        <v>1.1641532182693481E-10</v>
      </c>
      <c r="F35" s="71">
        <f t="shared" si="7"/>
        <v>0</v>
      </c>
      <c r="G35" s="71">
        <f t="shared" si="7"/>
        <v>0</v>
      </c>
      <c r="H35" s="71">
        <f t="shared" si="7"/>
        <v>0</v>
      </c>
      <c r="I35" s="71">
        <f t="shared" si="7"/>
        <v>0</v>
      </c>
      <c r="J35" s="71">
        <f t="shared" si="7"/>
        <v>0</v>
      </c>
      <c r="K35" s="71">
        <f t="shared" si="7"/>
        <v>0</v>
      </c>
      <c r="L35" s="71">
        <f t="shared" si="7"/>
        <v>0</v>
      </c>
      <c r="M35" s="71">
        <f t="shared" si="7"/>
        <v>0</v>
      </c>
      <c r="N35" s="71">
        <f t="shared" si="7"/>
        <v>0</v>
      </c>
    </row>
    <row r="38" spans="1:18" ht="15">
      <c r="A38" s="121" t="s">
        <v>111</v>
      </c>
    </row>
    <row r="39" spans="1:18" ht="13.5" thickBot="1"/>
    <row r="40" spans="1:18" ht="13.5" thickBot="1">
      <c r="B40" s="110" t="s">
        <v>112</v>
      </c>
      <c r="C40" s="120" t="str">
        <f>IF(N9 &gt;N28,"&gt;","&lt;")</f>
        <v>&gt;</v>
      </c>
      <c r="D40" s="110" t="s">
        <v>113</v>
      </c>
      <c r="E40" s="110"/>
      <c r="F40" s="110"/>
      <c r="G40" s="120" t="str">
        <f>IF(N9 &gt;N28,"MORE","LESS")</f>
        <v>MORE</v>
      </c>
      <c r="H40" s="110" t="s">
        <v>114</v>
      </c>
      <c r="I40" s="110"/>
      <c r="J40" s="120" t="str">
        <f>IF(N9 &gt;N28,"INCREASE","DECREASE")</f>
        <v>INCREASE</v>
      </c>
      <c r="K40" s="110" t="s">
        <v>115</v>
      </c>
      <c r="M40" s="110">
        <f>+N34</f>
        <v>12073831.523199167</v>
      </c>
    </row>
    <row r="44" spans="1:18" ht="15">
      <c r="B44" s="118">
        <v>43831</v>
      </c>
      <c r="C44" s="118">
        <v>43862</v>
      </c>
      <c r="D44" s="118">
        <v>43891</v>
      </c>
      <c r="E44" s="118">
        <v>43922</v>
      </c>
      <c r="F44" s="118">
        <v>43952</v>
      </c>
      <c r="G44" s="118">
        <v>43983</v>
      </c>
      <c r="H44" s="119">
        <v>44013</v>
      </c>
      <c r="I44" s="119">
        <v>44044</v>
      </c>
      <c r="J44" s="119">
        <v>44075</v>
      </c>
      <c r="K44" s="119">
        <v>44105</v>
      </c>
      <c r="L44" s="119">
        <v>44136</v>
      </c>
      <c r="M44" s="118">
        <v>44166</v>
      </c>
      <c r="N44" s="117" t="s">
        <v>89</v>
      </c>
    </row>
    <row r="45" spans="1:18">
      <c r="A45" s="109" t="s">
        <v>116</v>
      </c>
      <c r="B45" s="114">
        <f t="shared" ref="B45:M45" si="8">SUM(B7:B8)</f>
        <v>356303</v>
      </c>
      <c r="C45" s="114">
        <f t="shared" si="8"/>
        <v>290937</v>
      </c>
      <c r="D45" s="114">
        <f t="shared" si="8"/>
        <v>207682</v>
      </c>
      <c r="E45" s="114">
        <f t="shared" si="8"/>
        <v>240335</v>
      </c>
      <c r="F45" s="114">
        <f t="shared" si="8"/>
        <v>366025.23485000001</v>
      </c>
      <c r="G45" s="114">
        <f t="shared" si="8"/>
        <v>377886</v>
      </c>
      <c r="H45" s="114">
        <f t="shared" si="8"/>
        <v>407646</v>
      </c>
      <c r="I45" s="114">
        <f t="shared" si="8"/>
        <v>345948</v>
      </c>
      <c r="J45" s="114">
        <f t="shared" si="8"/>
        <v>220283</v>
      </c>
      <c r="K45" s="114">
        <f t="shared" si="8"/>
        <v>217225</v>
      </c>
      <c r="L45" s="114">
        <f t="shared" si="8"/>
        <v>315507</v>
      </c>
      <c r="M45" s="114">
        <f t="shared" si="8"/>
        <v>298187</v>
      </c>
      <c r="N45" s="114">
        <f>SUM(B45:M45)</f>
        <v>3643964.2348500001</v>
      </c>
    </row>
    <row r="46" spans="1:18">
      <c r="A46" s="109" t="s">
        <v>117</v>
      </c>
      <c r="B46" s="116">
        <f t="shared" ref="B46:M46" si="9">B18+B20</f>
        <v>231778.75012999997</v>
      </c>
      <c r="C46" s="116">
        <f t="shared" si="9"/>
        <v>197973.89784000002</v>
      </c>
      <c r="D46" s="116">
        <f t="shared" si="9"/>
        <v>213733.43919999999</v>
      </c>
      <c r="E46" s="116">
        <f t="shared" si="9"/>
        <v>231858.12937000001</v>
      </c>
      <c r="F46" s="116">
        <f t="shared" si="9"/>
        <v>356829.3492</v>
      </c>
      <c r="G46" s="116">
        <f t="shared" si="9"/>
        <v>364450.9019</v>
      </c>
      <c r="H46" s="116">
        <f t="shared" si="9"/>
        <v>325433.22315999999</v>
      </c>
      <c r="I46" s="116">
        <f t="shared" si="9"/>
        <v>286375.37728999997</v>
      </c>
      <c r="J46" s="116">
        <f t="shared" si="9"/>
        <v>185961.69030000005</v>
      </c>
      <c r="K46" s="116">
        <f t="shared" si="9"/>
        <v>205544.79138967738</v>
      </c>
      <c r="L46" s="116">
        <f t="shared" si="9"/>
        <v>268018.43540000002</v>
      </c>
      <c r="M46" s="116">
        <f t="shared" si="9"/>
        <v>255646.11780000001</v>
      </c>
      <c r="N46" s="116">
        <f>SUM(B46:M46)</f>
        <v>3123604.1029796773</v>
      </c>
    </row>
    <row r="47" spans="1:18">
      <c r="A47" s="109" t="s">
        <v>118</v>
      </c>
      <c r="B47" s="114">
        <f t="shared" ref="B47:N47" si="10">B18+B20-SUM(B7:B8)</f>
        <v>-124524.24987000003</v>
      </c>
      <c r="C47" s="114">
        <f t="shared" si="10"/>
        <v>-92963.10215999998</v>
      </c>
      <c r="D47" s="114">
        <f t="shared" si="10"/>
        <v>6051.4391999999934</v>
      </c>
      <c r="E47" s="114">
        <f t="shared" si="10"/>
        <v>-8476.8706299999903</v>
      </c>
      <c r="F47" s="114">
        <f t="shared" si="10"/>
        <v>-9195.8856500000111</v>
      </c>
      <c r="G47" s="114">
        <f t="shared" si="10"/>
        <v>-13435.098100000003</v>
      </c>
      <c r="H47" s="114">
        <f t="shared" si="10"/>
        <v>-82212.776840000006</v>
      </c>
      <c r="I47" s="114">
        <f t="shared" si="10"/>
        <v>-59572.622710000025</v>
      </c>
      <c r="J47" s="114">
        <f t="shared" si="10"/>
        <v>-34321.309699999954</v>
      </c>
      <c r="K47" s="114">
        <f t="shared" si="10"/>
        <v>-11680.208610322617</v>
      </c>
      <c r="L47" s="114">
        <f t="shared" si="10"/>
        <v>-47488.564599999983</v>
      </c>
      <c r="M47" s="114">
        <f t="shared" si="10"/>
        <v>-42540.882199999993</v>
      </c>
      <c r="N47" s="115">
        <f t="shared" si="10"/>
        <v>-520360.13187032286</v>
      </c>
    </row>
    <row r="48" spans="1:18">
      <c r="A48" s="113" t="s">
        <v>108</v>
      </c>
      <c r="B48" s="114">
        <f t="shared" ref="B48:M48" si="11">-B47</f>
        <v>124524.24987000003</v>
      </c>
      <c r="C48" s="114">
        <f t="shared" si="11"/>
        <v>92963.10215999998</v>
      </c>
      <c r="D48" s="114">
        <f t="shared" si="11"/>
        <v>-6051.4391999999934</v>
      </c>
      <c r="E48" s="114">
        <f t="shared" si="11"/>
        <v>8476.8706299999903</v>
      </c>
      <c r="F48" s="114">
        <f t="shared" si="11"/>
        <v>9195.8856500000111</v>
      </c>
      <c r="G48" s="114">
        <f t="shared" si="11"/>
        <v>13435.098100000003</v>
      </c>
      <c r="H48" s="114">
        <f t="shared" si="11"/>
        <v>82212.776840000006</v>
      </c>
      <c r="I48" s="114">
        <f t="shared" si="11"/>
        <v>59572.622710000025</v>
      </c>
      <c r="J48" s="114">
        <f t="shared" si="11"/>
        <v>34321.309699999954</v>
      </c>
      <c r="K48" s="114">
        <f t="shared" si="11"/>
        <v>11680.208610322617</v>
      </c>
      <c r="L48" s="114">
        <f t="shared" si="11"/>
        <v>47488.564599999983</v>
      </c>
      <c r="M48" s="114">
        <f t="shared" si="11"/>
        <v>42540.882199999993</v>
      </c>
      <c r="N48" s="114">
        <f>SUM(B48:M48)</f>
        <v>520360.13187032263</v>
      </c>
    </row>
    <row r="49" spans="1:14">
      <c r="A49" s="113" t="s">
        <v>119</v>
      </c>
      <c r="B49" s="110">
        <f t="shared" ref="B49:M49" si="12">B48*B33</f>
        <v>3258379.7108749142</v>
      </c>
      <c r="C49" s="110">
        <f t="shared" si="12"/>
        <v>2347183.393597214</v>
      </c>
      <c r="D49" s="110">
        <f t="shared" si="12"/>
        <v>-117534.28905722794</v>
      </c>
      <c r="E49" s="110">
        <f t="shared" si="12"/>
        <v>133191.10473070166</v>
      </c>
      <c r="F49" s="110">
        <f t="shared" si="12"/>
        <v>74593.10694551318</v>
      </c>
      <c r="G49" s="110">
        <f t="shared" si="12"/>
        <v>153594.0411079044</v>
      </c>
      <c r="H49" s="110">
        <f t="shared" si="12"/>
        <v>1741459.2996669186</v>
      </c>
      <c r="I49" s="110">
        <f t="shared" si="12"/>
        <v>1461921.2759146753</v>
      </c>
      <c r="J49" s="110">
        <f t="shared" si="12"/>
        <v>829437.71594476711</v>
      </c>
      <c r="K49" s="110">
        <f t="shared" si="12"/>
        <v>275242.92640487885</v>
      </c>
      <c r="L49" s="110">
        <f t="shared" si="12"/>
        <v>1081382.6623062149</v>
      </c>
      <c r="M49" s="110">
        <f t="shared" si="12"/>
        <v>1273120.3349779902</v>
      </c>
      <c r="N49" s="110">
        <f>SUM(B49:M49)</f>
        <v>12511971.283414464</v>
      </c>
    </row>
    <row r="52" spans="1:14">
      <c r="A52" s="109" t="s">
        <v>120</v>
      </c>
      <c r="B52" s="114">
        <f t="shared" ref="B52:M52" si="13">SUM(B4:B6)</f>
        <v>86040.700000000012</v>
      </c>
      <c r="C52" s="114">
        <f t="shared" si="13"/>
        <v>59964.799999999996</v>
      </c>
      <c r="D52" s="114">
        <f t="shared" si="13"/>
        <v>49413.61</v>
      </c>
      <c r="E52" s="114">
        <f t="shared" si="13"/>
        <v>48674.29</v>
      </c>
      <c r="F52" s="114">
        <f t="shared" si="13"/>
        <v>65236.5</v>
      </c>
      <c r="G52" s="114">
        <f t="shared" si="13"/>
        <v>130028</v>
      </c>
      <c r="H52" s="114">
        <f t="shared" si="13"/>
        <v>97355.9</v>
      </c>
      <c r="I52" s="114">
        <f t="shared" si="13"/>
        <v>42790.3</v>
      </c>
      <c r="J52" s="114">
        <f t="shared" si="13"/>
        <v>58898.3</v>
      </c>
      <c r="K52" s="114">
        <f t="shared" si="13"/>
        <v>115209.45</v>
      </c>
      <c r="L52" s="114">
        <f t="shared" si="13"/>
        <v>109374.95000000001</v>
      </c>
      <c r="M52" s="114">
        <f t="shared" si="13"/>
        <v>74685.5</v>
      </c>
      <c r="N52" s="114">
        <f>SUM(B52:M52)</f>
        <v>937672.3</v>
      </c>
    </row>
    <row r="53" spans="1:14">
      <c r="A53" s="109" t="s">
        <v>121</v>
      </c>
      <c r="B53" s="116">
        <f t="shared" ref="B53:M53" si="14">B26</f>
        <v>77052.942939247849</v>
      </c>
      <c r="C53" s="116">
        <f t="shared" si="14"/>
        <v>63158.768806336826</v>
      </c>
      <c r="D53" s="116">
        <f t="shared" si="14"/>
        <v>63474.460717569615</v>
      </c>
      <c r="E53" s="116">
        <f t="shared" si="14"/>
        <v>62338.574719661483</v>
      </c>
      <c r="F53" s="116">
        <f t="shared" si="14"/>
        <v>83463.914857378652</v>
      </c>
      <c r="G53" s="116">
        <f t="shared" si="14"/>
        <v>109085.8194023176</v>
      </c>
      <c r="H53" s="116">
        <f t="shared" si="14"/>
        <v>109376.33771930479</v>
      </c>
      <c r="I53" s="116">
        <f t="shared" si="14"/>
        <v>65211.50594152588</v>
      </c>
      <c r="J53" s="116">
        <f t="shared" si="14"/>
        <v>54197.791359345792</v>
      </c>
      <c r="K53" s="116">
        <f t="shared" si="14"/>
        <v>83454.554594073736</v>
      </c>
      <c r="L53" s="116">
        <f t="shared" si="14"/>
        <v>103612.85903197697</v>
      </c>
      <c r="M53" s="116">
        <f t="shared" si="14"/>
        <v>87540.556240103862</v>
      </c>
      <c r="N53" s="116">
        <f>SUM(B53:M53)</f>
        <v>961968.08632884326</v>
      </c>
    </row>
    <row r="54" spans="1:14">
      <c r="A54" s="109" t="s">
        <v>122</v>
      </c>
      <c r="B54" s="115">
        <f t="shared" ref="B54:N54" si="15">B26-SUM(B4:B6)</f>
        <v>-8987.7570607521629</v>
      </c>
      <c r="C54" s="115">
        <f t="shared" si="15"/>
        <v>3193.9688063368303</v>
      </c>
      <c r="D54" s="115">
        <f t="shared" si="15"/>
        <v>14060.850717569614</v>
      </c>
      <c r="E54" s="115">
        <f t="shared" si="15"/>
        <v>13664.284719661482</v>
      </c>
      <c r="F54" s="115">
        <f t="shared" si="15"/>
        <v>18227.414857378652</v>
      </c>
      <c r="G54" s="115">
        <f t="shared" si="15"/>
        <v>-20942.180597682396</v>
      </c>
      <c r="H54" s="115">
        <f t="shared" si="15"/>
        <v>12020.437719304799</v>
      </c>
      <c r="I54" s="115">
        <f t="shared" si="15"/>
        <v>22421.205941525877</v>
      </c>
      <c r="J54" s="115">
        <f t="shared" si="15"/>
        <v>-4700.5086406542105</v>
      </c>
      <c r="K54" s="115">
        <f t="shared" si="15"/>
        <v>-31754.895405926261</v>
      </c>
      <c r="L54" s="115">
        <f t="shared" si="15"/>
        <v>-5762.0909680230397</v>
      </c>
      <c r="M54" s="115">
        <f t="shared" si="15"/>
        <v>12855.056240103862</v>
      </c>
      <c r="N54" s="115">
        <f t="shared" si="15"/>
        <v>24295.78632884298</v>
      </c>
    </row>
    <row r="55" spans="1:14">
      <c r="A55" s="113" t="s">
        <v>108</v>
      </c>
      <c r="B55" s="114">
        <f t="shared" ref="B55:M55" si="16">-B54</f>
        <v>8987.7570607521629</v>
      </c>
      <c r="C55" s="114">
        <f t="shared" si="16"/>
        <v>-3193.9688063368303</v>
      </c>
      <c r="D55" s="114">
        <f t="shared" si="16"/>
        <v>-14060.850717569614</v>
      </c>
      <c r="E55" s="114">
        <f t="shared" si="16"/>
        <v>-13664.284719661482</v>
      </c>
      <c r="F55" s="114">
        <f t="shared" si="16"/>
        <v>-18227.414857378652</v>
      </c>
      <c r="G55" s="114">
        <f t="shared" si="16"/>
        <v>20942.180597682396</v>
      </c>
      <c r="H55" s="114">
        <f t="shared" si="16"/>
        <v>-12020.437719304799</v>
      </c>
      <c r="I55" s="114">
        <f t="shared" si="16"/>
        <v>-22421.205941525877</v>
      </c>
      <c r="J55" s="114">
        <f t="shared" si="16"/>
        <v>4700.5086406542105</v>
      </c>
      <c r="K55" s="114">
        <f t="shared" si="16"/>
        <v>31754.895405926261</v>
      </c>
      <c r="L55" s="114">
        <f t="shared" si="16"/>
        <v>5762.0909680230397</v>
      </c>
      <c r="M55" s="114">
        <f t="shared" si="16"/>
        <v>-12855.056240103862</v>
      </c>
      <c r="N55" s="114">
        <f>SUM(B55:M55)</f>
        <v>-24295.786328843045</v>
      </c>
    </row>
    <row r="56" spans="1:14">
      <c r="A56" s="109" t="s">
        <v>123</v>
      </c>
      <c r="B56" s="110">
        <f t="shared" ref="B56:M56" si="17">B55*B33</f>
        <v>235179.29466429955</v>
      </c>
      <c r="C56" s="110">
        <f t="shared" si="17"/>
        <v>-80643.07631428256</v>
      </c>
      <c r="D56" s="110">
        <f t="shared" si="17"/>
        <v>-273097.36378568585</v>
      </c>
      <c r="E56" s="110">
        <f t="shared" si="17"/>
        <v>-214697.29297574059</v>
      </c>
      <c r="F56" s="110">
        <f t="shared" si="17"/>
        <v>-147853.02444432635</v>
      </c>
      <c r="G56" s="110">
        <f t="shared" si="17"/>
        <v>239417.24307986908</v>
      </c>
      <c r="H56" s="110">
        <f t="shared" si="17"/>
        <v>-254621.04379578022</v>
      </c>
      <c r="I56" s="110">
        <f t="shared" si="17"/>
        <v>-550219.82424955408</v>
      </c>
      <c r="J56" s="110">
        <f t="shared" si="17"/>
        <v>113596.45610152445</v>
      </c>
      <c r="K56" s="110">
        <f t="shared" si="17"/>
        <v>748300.87636307825</v>
      </c>
      <c r="L56" s="110">
        <f t="shared" si="17"/>
        <v>131211.0678420327</v>
      </c>
      <c r="M56" s="110">
        <f t="shared" si="17"/>
        <v>-384713.07270073344</v>
      </c>
      <c r="N56" s="110">
        <f>SUM(B56:M56)</f>
        <v>-438139.76021529915</v>
      </c>
    </row>
    <row r="58" spans="1:14">
      <c r="A58" s="113" t="s">
        <v>119</v>
      </c>
      <c r="B58" s="110">
        <f t="shared" ref="B58:M58" si="18">-B47*B$33</f>
        <v>3258379.7108749142</v>
      </c>
      <c r="C58" s="110">
        <f t="shared" si="18"/>
        <v>2347183.393597214</v>
      </c>
      <c r="D58" s="110">
        <f t="shared" si="18"/>
        <v>-117534.28905722794</v>
      </c>
      <c r="E58" s="110">
        <f t="shared" si="18"/>
        <v>133191.10473070166</v>
      </c>
      <c r="F58" s="110">
        <f t="shared" si="18"/>
        <v>74593.10694551318</v>
      </c>
      <c r="G58" s="110">
        <f t="shared" si="18"/>
        <v>153594.0411079044</v>
      </c>
      <c r="H58" s="110">
        <f t="shared" si="18"/>
        <v>1741459.2996669186</v>
      </c>
      <c r="I58" s="110">
        <f t="shared" si="18"/>
        <v>1461921.2759146753</v>
      </c>
      <c r="J58" s="110">
        <f t="shared" si="18"/>
        <v>829437.71594476711</v>
      </c>
      <c r="K58" s="110">
        <f t="shared" si="18"/>
        <v>275242.92640487885</v>
      </c>
      <c r="L58" s="110">
        <f t="shared" si="18"/>
        <v>1081382.6623062149</v>
      </c>
      <c r="M58" s="110">
        <f t="shared" si="18"/>
        <v>1273120.3349779902</v>
      </c>
      <c r="N58" s="110">
        <f>SUM(B58:M58)</f>
        <v>12511971.283414464</v>
      </c>
    </row>
    <row r="59" spans="1:14">
      <c r="A59" s="109" t="s">
        <v>123</v>
      </c>
      <c r="B59" s="112">
        <f t="shared" ref="B59:M59" si="19">-B54*B$33</f>
        <v>235179.29466429955</v>
      </c>
      <c r="C59" s="112">
        <f t="shared" si="19"/>
        <v>-80643.07631428256</v>
      </c>
      <c r="D59" s="112">
        <f t="shared" si="19"/>
        <v>-273097.36378568585</v>
      </c>
      <c r="E59" s="112">
        <f t="shared" si="19"/>
        <v>-214697.29297574059</v>
      </c>
      <c r="F59" s="112">
        <f t="shared" si="19"/>
        <v>-147853.02444432635</v>
      </c>
      <c r="G59" s="112">
        <f t="shared" si="19"/>
        <v>239417.24307986908</v>
      </c>
      <c r="H59" s="112">
        <f t="shared" si="19"/>
        <v>-254621.04379578022</v>
      </c>
      <c r="I59" s="112">
        <f t="shared" si="19"/>
        <v>-550219.82424955408</v>
      </c>
      <c r="J59" s="112">
        <f t="shared" si="19"/>
        <v>113596.45610152445</v>
      </c>
      <c r="K59" s="112">
        <f t="shared" si="19"/>
        <v>748300.87636307825</v>
      </c>
      <c r="L59" s="112">
        <f t="shared" si="19"/>
        <v>131211.0678420327</v>
      </c>
      <c r="M59" s="112">
        <f t="shared" si="19"/>
        <v>-384713.07270073344</v>
      </c>
      <c r="N59" s="112">
        <f>SUM(B59:M59)</f>
        <v>-438139.76021529915</v>
      </c>
    </row>
    <row r="60" spans="1:14">
      <c r="A60" s="111" t="s">
        <v>110</v>
      </c>
      <c r="B60" s="110">
        <f t="shared" ref="B60:M60" si="20">SUM(B58:B59)</f>
        <v>3493559.0055392138</v>
      </c>
      <c r="C60" s="110">
        <f t="shared" si="20"/>
        <v>2266540.3172829314</v>
      </c>
      <c r="D60" s="110">
        <f t="shared" si="20"/>
        <v>-390631.65284291381</v>
      </c>
      <c r="E60" s="110">
        <f t="shared" si="20"/>
        <v>-81506.188245038938</v>
      </c>
      <c r="F60" s="110">
        <f t="shared" si="20"/>
        <v>-73259.917498813171</v>
      </c>
      <c r="G60" s="110">
        <f t="shared" si="20"/>
        <v>393011.28418777348</v>
      </c>
      <c r="H60" s="110">
        <f t="shared" si="20"/>
        <v>1486838.2558711383</v>
      </c>
      <c r="I60" s="110">
        <f t="shared" si="20"/>
        <v>911701.45166512125</v>
      </c>
      <c r="J60" s="110">
        <f t="shared" si="20"/>
        <v>943034.17204629153</v>
      </c>
      <c r="K60" s="110">
        <f t="shared" si="20"/>
        <v>1023543.8027679571</v>
      </c>
      <c r="L60" s="110">
        <f t="shared" si="20"/>
        <v>1212593.7301482477</v>
      </c>
      <c r="M60" s="110">
        <f t="shared" si="20"/>
        <v>888407.26227725681</v>
      </c>
      <c r="N60" s="110">
        <f>SUM(B60:M60)</f>
        <v>12073831.523199165</v>
      </c>
    </row>
  </sheetData>
  <pageMargins left="0.7" right="0.7" top="0.75" bottom="0.75" header="0.3" footer="0.3"/>
  <pageSetup scale="47" orientation="landscape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AB46"/>
  <sheetViews>
    <sheetView zoomScale="90" zoomScaleNormal="90" workbookViewId="0">
      <selection activeCell="M26" sqref="M26"/>
    </sheetView>
  </sheetViews>
  <sheetFormatPr defaultColWidth="9.140625" defaultRowHeight="12.75"/>
  <cols>
    <col min="1" max="1" width="40.42578125" style="150" customWidth="1"/>
    <col min="2" max="2" width="12.42578125" style="150" bestFit="1" customWidth="1"/>
    <col min="3" max="3" width="13.140625" style="150" customWidth="1"/>
    <col min="4" max="4" width="13.85546875" style="150" customWidth="1"/>
    <col min="5" max="5" width="11.5703125" style="150" bestFit="1" customWidth="1"/>
    <col min="6" max="7" width="14" style="150" customWidth="1"/>
    <col min="8" max="8" width="12.42578125" style="150" customWidth="1"/>
    <col min="9" max="10" width="12.85546875" style="150" customWidth="1"/>
    <col min="11" max="11" width="13.85546875" style="150" customWidth="1"/>
    <col min="12" max="12" width="14.140625" style="150" customWidth="1"/>
    <col min="13" max="13" width="12.140625" style="150" bestFit="1" customWidth="1"/>
    <col min="14" max="14" width="14" style="150" customWidth="1"/>
    <col min="15" max="15" width="11.42578125" style="150" bestFit="1" customWidth="1"/>
    <col min="16" max="16" width="25.5703125" style="150" bestFit="1" customWidth="1"/>
    <col min="17" max="17" width="10.140625" style="150" bestFit="1" customWidth="1"/>
    <col min="18" max="18" width="11.140625" style="150" bestFit="1" customWidth="1"/>
    <col min="19" max="21" width="10.140625" style="150" bestFit="1" customWidth="1"/>
    <col min="22" max="16384" width="9.140625" style="150"/>
  </cols>
  <sheetData>
    <row r="1" spans="1:28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28">
      <c r="B2" s="176">
        <f>'12MOE Jun-21 Hydro'!B2</f>
        <v>44197</v>
      </c>
      <c r="C2" s="176">
        <f>'12MOE Jun-21 Hydro'!C2</f>
        <v>44228</v>
      </c>
      <c r="D2" s="176">
        <f>'12MOE Jun-21 Hydro'!D2</f>
        <v>44256</v>
      </c>
      <c r="E2" s="176">
        <f>'12MOE Jun-21 Hydro'!E2</f>
        <v>44287</v>
      </c>
      <c r="F2" s="176">
        <f>'12MOE Jun-21 Hydro'!F2</f>
        <v>44317</v>
      </c>
      <c r="G2" s="176">
        <f>'12MOE Jun-21 Hydro'!G2</f>
        <v>44348</v>
      </c>
      <c r="H2" s="177">
        <f>'12MOE Jun-21 Hydro'!H2</f>
        <v>44013</v>
      </c>
      <c r="I2" s="177">
        <f>'12MOE Jun-21 Hydro'!I2</f>
        <v>44044</v>
      </c>
      <c r="J2" s="177">
        <f>'12MOE Jun-21 Hydro'!J2</f>
        <v>44075</v>
      </c>
      <c r="K2" s="177">
        <f>'12MOE Jun-21 Hydro'!K2</f>
        <v>44105</v>
      </c>
      <c r="L2" s="177">
        <f>'12MOE Jun-21 Hydro'!L2</f>
        <v>44136</v>
      </c>
      <c r="M2" s="176">
        <f>'12MOE Jun-21 Hydro'!M2</f>
        <v>44166</v>
      </c>
    </row>
    <row r="3" spans="1:28">
      <c r="A3" s="165" t="s">
        <v>124</v>
      </c>
      <c r="O3" s="169" t="s">
        <v>125</v>
      </c>
    </row>
    <row r="4" spans="1:28">
      <c r="A4" s="169" t="s">
        <v>126</v>
      </c>
      <c r="B4" s="769">
        <f>'EA Database'!C81</f>
        <v>28421.423999999999</v>
      </c>
      <c r="C4" s="769">
        <f>'EA Database'!D81</f>
        <v>49592.788</v>
      </c>
      <c r="D4" s="769">
        <f>'EA Database'!E81</f>
        <v>40675.760000000002</v>
      </c>
      <c r="E4" s="769">
        <f>'EA Database'!F81</f>
        <v>36834.639999999999</v>
      </c>
      <c r="F4" s="769">
        <f>'EA Database'!G81</f>
        <v>31471.360000000001</v>
      </c>
      <c r="G4" s="769">
        <f>'EA Database'!H81</f>
        <v>30240.864000000001</v>
      </c>
      <c r="H4" s="769">
        <f>'EA Database'!I81</f>
        <v>34863.423999999999</v>
      </c>
      <c r="I4" s="769">
        <f>'EA Database'!J81</f>
        <v>30907.392</v>
      </c>
      <c r="J4" s="769">
        <f>'EA Database'!K81</f>
        <v>26405.439999999999</v>
      </c>
      <c r="K4" s="769">
        <f>'EA Database'!L81</f>
        <v>42140.288</v>
      </c>
      <c r="L4" s="769">
        <f>'EA Database'!M81</f>
        <v>41865.279999999999</v>
      </c>
      <c r="M4" s="769">
        <f>'EA Database'!N81</f>
        <v>28895.5</v>
      </c>
      <c r="N4" s="170">
        <f>SUM(B4:M4)</f>
        <v>422314.16000000003</v>
      </c>
      <c r="O4" s="170">
        <f>'EA Database'!O81-N4</f>
        <v>0</v>
      </c>
      <c r="P4" s="169"/>
      <c r="Q4" s="174"/>
      <c r="R4" s="174"/>
      <c r="S4" s="174"/>
      <c r="T4" s="174"/>
      <c r="U4" s="174"/>
    </row>
    <row r="5" spans="1:28">
      <c r="A5" s="93" t="s">
        <v>127</v>
      </c>
      <c r="B5" s="769">
        <f>'EA Database'!C82</f>
        <v>49051.6</v>
      </c>
      <c r="C5" s="769">
        <f>'EA Database'!D82</f>
        <v>103857.65</v>
      </c>
      <c r="D5" s="769">
        <f>'EA Database'!E82</f>
        <v>81160.55</v>
      </c>
      <c r="E5" s="769">
        <f>'EA Database'!F82</f>
        <v>91091.4</v>
      </c>
      <c r="F5" s="769">
        <f>'EA Database'!G82</f>
        <v>84938.5</v>
      </c>
      <c r="G5" s="769">
        <f>'EA Database'!H82</f>
        <v>74428.399999999994</v>
      </c>
      <c r="H5" s="769">
        <f>'EA Database'!I82</f>
        <v>77436.850000000006</v>
      </c>
      <c r="I5" s="769">
        <f>'EA Database'!J82</f>
        <v>65590.3</v>
      </c>
      <c r="J5" s="769">
        <f>'EA Database'!K82</f>
        <v>54111.9</v>
      </c>
      <c r="K5" s="769">
        <f>'EA Database'!L82</f>
        <v>87594.1</v>
      </c>
      <c r="L5" s="769">
        <f>'EA Database'!M82</f>
        <v>59842.45</v>
      </c>
      <c r="M5" s="769">
        <f>'EA Database'!N82</f>
        <v>51621.85</v>
      </c>
      <c r="N5" s="170">
        <f>SUM(B5:M5)</f>
        <v>880725.54999999993</v>
      </c>
      <c r="O5" s="170">
        <f>'EA Database'!O82-N5</f>
        <v>0</v>
      </c>
      <c r="P5" s="93"/>
      <c r="Q5" s="174"/>
      <c r="R5" s="175"/>
      <c r="S5" s="175"/>
      <c r="T5" s="175"/>
      <c r="U5" s="175"/>
    </row>
    <row r="6" spans="1:28">
      <c r="A6" s="169" t="s">
        <v>128</v>
      </c>
      <c r="B6" s="769">
        <f>'EA Database'!C83</f>
        <v>34801.514999999999</v>
      </c>
      <c r="C6" s="769">
        <f>'EA Database'!D83</f>
        <v>78268.304000000004</v>
      </c>
      <c r="D6" s="769">
        <f>'EA Database'!E83</f>
        <v>55652.029000000002</v>
      </c>
      <c r="E6" s="769">
        <f>'EA Database'!F83</f>
        <v>73970.312999999995</v>
      </c>
      <c r="F6" s="769">
        <f>'EA Database'!G83</f>
        <v>67339.475999999995</v>
      </c>
      <c r="G6" s="769">
        <f>'EA Database'!H83</f>
        <v>57559.402999999998</v>
      </c>
      <c r="H6" s="769">
        <f>'EA Database'!I83</f>
        <v>65499.983</v>
      </c>
      <c r="I6" s="769">
        <f>'EA Database'!J83</f>
        <v>58612.139000000003</v>
      </c>
      <c r="J6" s="769">
        <f>'EA Database'!K83</f>
        <v>38392.728000000003</v>
      </c>
      <c r="K6" s="769">
        <f>'EA Database'!L83</f>
        <v>75721.16</v>
      </c>
      <c r="L6" s="769">
        <f>'EA Database'!M83</f>
        <v>66864.501999999993</v>
      </c>
      <c r="M6" s="769">
        <f>'EA Database'!N83</f>
        <v>43248.476999999999</v>
      </c>
      <c r="N6" s="170">
        <f>SUM(B6:M6)</f>
        <v>715930.02899999998</v>
      </c>
      <c r="O6" s="170">
        <f>'EA Database'!O83-N6</f>
        <v>0</v>
      </c>
      <c r="P6" s="169"/>
      <c r="Q6" s="169"/>
    </row>
    <row r="7" spans="1:28">
      <c r="A7" s="169" t="s">
        <v>129</v>
      </c>
      <c r="B7" s="769">
        <f>'EA Database'!C84</f>
        <v>3939</v>
      </c>
      <c r="C7" s="769">
        <f>'EA Database'!D84</f>
        <v>13212</v>
      </c>
      <c r="D7" s="769">
        <f>'EA Database'!E84</f>
        <v>11299</v>
      </c>
      <c r="E7" s="769">
        <f>'EA Database'!F84</f>
        <v>14073</v>
      </c>
      <c r="F7" s="769">
        <f>'EA Database'!G84</f>
        <v>15592</v>
      </c>
      <c r="G7" s="769">
        <f>'EA Database'!H84</f>
        <v>14486</v>
      </c>
      <c r="H7" s="769">
        <f>'EA Database'!I84</f>
        <v>18031</v>
      </c>
      <c r="I7" s="769">
        <f>'EA Database'!J84</f>
        <v>16326</v>
      </c>
      <c r="J7" s="769">
        <f>'EA Database'!K84</f>
        <v>4556</v>
      </c>
      <c r="K7" s="769">
        <f>'EA Database'!L84</f>
        <v>8279</v>
      </c>
      <c r="L7" s="769">
        <f>'EA Database'!M84</f>
        <v>7492</v>
      </c>
      <c r="M7" s="769">
        <f>'EA Database'!N84</f>
        <v>5509</v>
      </c>
      <c r="N7" s="170">
        <f>SUM(B7:M7)</f>
        <v>132794</v>
      </c>
      <c r="O7" s="170">
        <f>'EA Database'!O84-N7</f>
        <v>0</v>
      </c>
      <c r="P7" s="169"/>
      <c r="Q7" s="174"/>
      <c r="R7" s="174"/>
      <c r="S7" s="174"/>
      <c r="T7" s="174"/>
      <c r="U7" s="174"/>
    </row>
    <row r="8" spans="1:28" ht="13.5" thickBot="1">
      <c r="A8" s="167" t="s">
        <v>130</v>
      </c>
      <c r="B8" s="172">
        <f t="shared" ref="B8:O8" si="0">SUM(B4:B7)</f>
        <v>116213.539</v>
      </c>
      <c r="C8" s="172">
        <f t="shared" si="0"/>
        <v>244930.742</v>
      </c>
      <c r="D8" s="172">
        <f t="shared" si="0"/>
        <v>188787.33900000001</v>
      </c>
      <c r="E8" s="172">
        <f t="shared" si="0"/>
        <v>215969.353</v>
      </c>
      <c r="F8" s="172">
        <f t="shared" si="0"/>
        <v>199341.33600000001</v>
      </c>
      <c r="G8" s="172">
        <f t="shared" si="0"/>
        <v>176714.66699999999</v>
      </c>
      <c r="H8" s="172">
        <f t="shared" si="0"/>
        <v>195831.25700000001</v>
      </c>
      <c r="I8" s="172">
        <f t="shared" si="0"/>
        <v>171435.83100000001</v>
      </c>
      <c r="J8" s="172">
        <f t="shared" si="0"/>
        <v>123466.068</v>
      </c>
      <c r="K8" s="172">
        <f t="shared" si="0"/>
        <v>213734.54800000001</v>
      </c>
      <c r="L8" s="172">
        <f t="shared" si="0"/>
        <v>176064.23199999999</v>
      </c>
      <c r="M8" s="172">
        <f t="shared" si="0"/>
        <v>129274.827</v>
      </c>
      <c r="N8" s="172">
        <f t="shared" si="0"/>
        <v>2151763.7390000001</v>
      </c>
      <c r="O8" s="170">
        <f t="shared" si="0"/>
        <v>0</v>
      </c>
    </row>
    <row r="9" spans="1:28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1:28">
      <c r="A10" s="165" t="s">
        <v>491</v>
      </c>
      <c r="B10" s="144" t="s">
        <v>490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1" spans="1:28">
      <c r="A11" s="169" t="s">
        <v>126</v>
      </c>
      <c r="B11" s="173">
        <f>'Wind Forecast'!B15</f>
        <v>35254.1</v>
      </c>
      <c r="C11" s="173">
        <f>'Wind Forecast'!C15</f>
        <v>31223</v>
      </c>
      <c r="D11" s="173">
        <f>'Wind Forecast'!D15</f>
        <v>44491.746099999997</v>
      </c>
      <c r="E11" s="173">
        <f>'Wind Forecast'!E15</f>
        <v>41078.097699999998</v>
      </c>
      <c r="F11" s="173">
        <f>'Wind Forecast'!F15</f>
        <v>38650.699999999997</v>
      </c>
      <c r="G11" s="173">
        <f>'Wind Forecast'!G15</f>
        <v>38256.800000000003</v>
      </c>
      <c r="H11" s="170">
        <f>'Wind Forecast'!H7</f>
        <v>37655.071324072727</v>
      </c>
      <c r="I11" s="170">
        <f>'Wind Forecast'!I7</f>
        <v>30580.753524782009</v>
      </c>
      <c r="J11" s="170">
        <f>'Wind Forecast'!J7</f>
        <v>33894.041607994121</v>
      </c>
      <c r="K11" s="170">
        <f>14/31*'Wind Forecast'!K7+17/31*'Wind Forecast'!K15</f>
        <v>31261.568430816609</v>
      </c>
      <c r="L11" s="170">
        <f>'Wind Forecast'!L15</f>
        <v>33101.300000000003</v>
      </c>
      <c r="M11" s="170">
        <f>'Wind Forecast'!M15</f>
        <v>34900.199999999997</v>
      </c>
      <c r="N11" s="170">
        <f>SUM(B11:M11)</f>
        <v>430347.37868766545</v>
      </c>
      <c r="O11" s="171"/>
      <c r="Q11" s="168"/>
      <c r="R11" s="168"/>
    </row>
    <row r="12" spans="1:28">
      <c r="A12" s="93" t="s">
        <v>127</v>
      </c>
      <c r="B12" s="173">
        <f>'Wind Forecast'!B16</f>
        <v>64025.8</v>
      </c>
      <c r="C12" s="173">
        <f>'Wind Forecast'!C16</f>
        <v>62369.3</v>
      </c>
      <c r="D12" s="173">
        <f>'Wind Forecast'!D16</f>
        <v>90770.22</v>
      </c>
      <c r="E12" s="173">
        <f>'Wind Forecast'!E16</f>
        <v>81351.100000000006</v>
      </c>
      <c r="F12" s="173">
        <f>'Wind Forecast'!F16</f>
        <v>78508.2</v>
      </c>
      <c r="G12" s="173">
        <f>'Wind Forecast'!G16</f>
        <v>78841.2</v>
      </c>
      <c r="H12" s="170">
        <f>'Wind Forecast'!H8</f>
        <v>67915.387889655176</v>
      </c>
      <c r="I12" s="170">
        <f>'Wind Forecast'!I8</f>
        <v>71145.18176551722</v>
      </c>
      <c r="J12" s="170">
        <f>'Wind Forecast'!J8</f>
        <v>61724.949627586175</v>
      </c>
      <c r="K12" s="170">
        <f>14/31*'Wind Forecast'!K8+17/31*'Wind Forecast'!K16</f>
        <v>65710.036851612895</v>
      </c>
      <c r="L12" s="170">
        <f>'Wind Forecast'!L16</f>
        <v>63729.1</v>
      </c>
      <c r="M12" s="170">
        <f>'Wind Forecast'!M16</f>
        <v>68684.7</v>
      </c>
      <c r="N12" s="170">
        <f>SUM(B12:M12)</f>
        <v>854775.17613437143</v>
      </c>
      <c r="O12" s="171"/>
      <c r="Q12" s="168"/>
      <c r="R12" s="168"/>
    </row>
    <row r="13" spans="1:28">
      <c r="A13" s="169" t="s">
        <v>128</v>
      </c>
      <c r="B13" s="173">
        <f>'Wind Forecast'!B17</f>
        <v>55244.1</v>
      </c>
      <c r="C13" s="173">
        <f>'Wind Forecast'!C17</f>
        <v>49375.600000000006</v>
      </c>
      <c r="D13" s="173">
        <f>'Wind Forecast'!D17</f>
        <v>64682.493800000004</v>
      </c>
      <c r="E13" s="173">
        <f>'Wind Forecast'!E17</f>
        <v>65616.3</v>
      </c>
      <c r="F13" s="173">
        <f>'Wind Forecast'!F17</f>
        <v>65225.9</v>
      </c>
      <c r="G13" s="173">
        <f>'Wind Forecast'!G17</f>
        <v>61730.400000000001</v>
      </c>
      <c r="H13" s="170">
        <f>'Wind Forecast'!H9</f>
        <v>57217.231393212955</v>
      </c>
      <c r="I13" s="170">
        <f>'Wind Forecast'!I9</f>
        <v>56664.200324254751</v>
      </c>
      <c r="J13" s="170">
        <f>'Wind Forecast'!J9</f>
        <v>41335.479119715412</v>
      </c>
      <c r="K13" s="170">
        <f>14/31*'Wind Forecast'!K9+17/31*'Wind Forecast'!K17</f>
        <v>57069.950789930714</v>
      </c>
      <c r="L13" s="170">
        <f>'Wind Forecast'!L17</f>
        <v>53707.8</v>
      </c>
      <c r="M13" s="170">
        <f>'Wind Forecast'!M17</f>
        <v>51649.700000000004</v>
      </c>
      <c r="N13" s="170">
        <f>SUM(B13:M13)</f>
        <v>679519.15542711387</v>
      </c>
      <c r="O13" s="171"/>
      <c r="Q13" s="168"/>
      <c r="R13" s="168"/>
    </row>
    <row r="14" spans="1:28">
      <c r="A14" s="169" t="s">
        <v>129</v>
      </c>
      <c r="B14" s="173">
        <f>'Wind Forecast'!B18</f>
        <v>6396.3574200000003</v>
      </c>
      <c r="C14" s="173">
        <f>'Wind Forecast'!C18</f>
        <v>7175.6113299999997</v>
      </c>
      <c r="D14" s="173">
        <f>'Wind Forecast'!D18</f>
        <v>10012.748</v>
      </c>
      <c r="E14" s="173">
        <f>'Wind Forecast'!E18</f>
        <v>14068.5947</v>
      </c>
      <c r="F14" s="173">
        <f>'Wind Forecast'!F18</f>
        <v>14571.743200000001</v>
      </c>
      <c r="G14" s="173">
        <f>'Wind Forecast'!G18</f>
        <v>16697.669999999998</v>
      </c>
      <c r="H14" s="170">
        <f>'Wind Forecast'!H10</f>
        <v>19579.651470792905</v>
      </c>
      <c r="I14" s="170">
        <f>'Wind Forecast'!I10</f>
        <v>18148.251388122004</v>
      </c>
      <c r="J14" s="170">
        <f>'Wind Forecast'!J10</f>
        <v>13930.187678710206</v>
      </c>
      <c r="K14" s="170">
        <f>14/31*'Wind Forecast'!K10+17/31*'Wind Forecast'!K18</f>
        <v>9426.9882879949473</v>
      </c>
      <c r="L14" s="170">
        <f>'Wind Forecast'!L18</f>
        <v>7334.5829999999996</v>
      </c>
      <c r="M14" s="170">
        <f>'Wind Forecast'!M18</f>
        <v>6944.8964800000003</v>
      </c>
      <c r="N14" s="170">
        <f>SUM(B14:M14)</f>
        <v>144287.28295562006</v>
      </c>
      <c r="O14" s="171"/>
      <c r="Q14" s="114"/>
      <c r="R14" s="168"/>
    </row>
    <row r="15" spans="1:28" ht="13.5" thickBot="1">
      <c r="A15" s="167" t="s">
        <v>131</v>
      </c>
      <c r="B15" s="172">
        <f t="shared" ref="B15:N15" si="1">SUM(B11:B14)</f>
        <v>160920.35742000001</v>
      </c>
      <c r="C15" s="172">
        <f t="shared" si="1"/>
        <v>150143.51133000001</v>
      </c>
      <c r="D15" s="172">
        <f t="shared" si="1"/>
        <v>209957.20789999998</v>
      </c>
      <c r="E15" s="172">
        <f t="shared" si="1"/>
        <v>202114.09239999999</v>
      </c>
      <c r="F15" s="172">
        <f t="shared" si="1"/>
        <v>196956.54319999999</v>
      </c>
      <c r="G15" s="172">
        <f t="shared" si="1"/>
        <v>195526.07</v>
      </c>
      <c r="H15" s="172">
        <f t="shared" si="1"/>
        <v>182367.34207773377</v>
      </c>
      <c r="I15" s="172">
        <f t="shared" si="1"/>
        <v>176538.387002676</v>
      </c>
      <c r="J15" s="172">
        <f t="shared" si="1"/>
        <v>150884.6580340059</v>
      </c>
      <c r="K15" s="172">
        <f t="shared" si="1"/>
        <v>163468.54436035518</v>
      </c>
      <c r="L15" s="172">
        <f t="shared" si="1"/>
        <v>157872.78300000002</v>
      </c>
      <c r="M15" s="172">
        <f t="shared" si="1"/>
        <v>162179.49648</v>
      </c>
      <c r="N15" s="172">
        <f t="shared" si="1"/>
        <v>2108928.9932047711</v>
      </c>
      <c r="O15" s="171"/>
      <c r="Q15" s="134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</row>
    <row r="16" spans="1:28"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69"/>
    </row>
    <row r="17" spans="1:28">
      <c r="A17" s="165" t="s">
        <v>132</v>
      </c>
    </row>
    <row r="18" spans="1:28">
      <c r="A18" s="169" t="s">
        <v>126</v>
      </c>
      <c r="B18" s="168">
        <f t="shared" ref="B18:N18" si="2">B4-B11</f>
        <v>-6832.6759999999995</v>
      </c>
      <c r="C18" s="168">
        <f t="shared" si="2"/>
        <v>18369.788</v>
      </c>
      <c r="D18" s="168">
        <f t="shared" si="2"/>
        <v>-3815.9860999999946</v>
      </c>
      <c r="E18" s="168">
        <f t="shared" si="2"/>
        <v>-4243.457699999999</v>
      </c>
      <c r="F18" s="168">
        <f t="shared" si="2"/>
        <v>-7179.3399999999965</v>
      </c>
      <c r="G18" s="168">
        <f t="shared" si="2"/>
        <v>-8015.9360000000015</v>
      </c>
      <c r="H18" s="168">
        <f t="shared" si="2"/>
        <v>-2791.6473240727282</v>
      </c>
      <c r="I18" s="168">
        <f t="shared" si="2"/>
        <v>326.63847521799107</v>
      </c>
      <c r="J18" s="168">
        <f t="shared" si="2"/>
        <v>-7488.6016079941219</v>
      </c>
      <c r="K18" s="168">
        <f t="shared" si="2"/>
        <v>10878.719569183391</v>
      </c>
      <c r="L18" s="168">
        <f t="shared" si="2"/>
        <v>8763.9799999999959</v>
      </c>
      <c r="M18" s="168">
        <f t="shared" si="2"/>
        <v>-6004.6999999999971</v>
      </c>
      <c r="N18" s="168">
        <f t="shared" si="2"/>
        <v>-8033.2186876654159</v>
      </c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</row>
    <row r="19" spans="1:28">
      <c r="A19" s="93" t="s">
        <v>127</v>
      </c>
      <c r="B19" s="168">
        <f t="shared" ref="B19:N19" si="3">B5-B12</f>
        <v>-14974.200000000004</v>
      </c>
      <c r="C19" s="168">
        <f t="shared" si="3"/>
        <v>41488.349999999991</v>
      </c>
      <c r="D19" s="168">
        <f t="shared" si="3"/>
        <v>-9609.6699999999983</v>
      </c>
      <c r="E19" s="168">
        <f t="shared" si="3"/>
        <v>9740.2999999999884</v>
      </c>
      <c r="F19" s="168">
        <f t="shared" si="3"/>
        <v>6430.3000000000029</v>
      </c>
      <c r="G19" s="168">
        <f t="shared" si="3"/>
        <v>-4412.8000000000029</v>
      </c>
      <c r="H19" s="168">
        <f t="shared" si="3"/>
        <v>9521.4621103448299</v>
      </c>
      <c r="I19" s="168">
        <f t="shared" si="3"/>
        <v>-5554.881765517217</v>
      </c>
      <c r="J19" s="168">
        <f t="shared" si="3"/>
        <v>-7613.0496275861733</v>
      </c>
      <c r="K19" s="168">
        <f t="shared" si="3"/>
        <v>21884.063148387111</v>
      </c>
      <c r="L19" s="168">
        <f t="shared" si="3"/>
        <v>-3886.6500000000015</v>
      </c>
      <c r="M19" s="168">
        <f t="shared" si="3"/>
        <v>-17062.849999999999</v>
      </c>
      <c r="N19" s="168">
        <f t="shared" si="3"/>
        <v>25950.373865628499</v>
      </c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</row>
    <row r="20" spans="1:28">
      <c r="A20" s="169" t="s">
        <v>133</v>
      </c>
      <c r="B20" s="168">
        <f t="shared" ref="B20:N20" si="4">B6-B13</f>
        <v>-20442.584999999999</v>
      </c>
      <c r="C20" s="168">
        <f t="shared" si="4"/>
        <v>28892.703999999998</v>
      </c>
      <c r="D20" s="168">
        <f t="shared" si="4"/>
        <v>-9030.4648000000016</v>
      </c>
      <c r="E20" s="168">
        <f t="shared" si="4"/>
        <v>8354.0129999999917</v>
      </c>
      <c r="F20" s="168">
        <f t="shared" si="4"/>
        <v>2113.5759999999937</v>
      </c>
      <c r="G20" s="168">
        <f t="shared" si="4"/>
        <v>-4170.997000000003</v>
      </c>
      <c r="H20" s="168">
        <f t="shared" si="4"/>
        <v>8282.7516067870456</v>
      </c>
      <c r="I20" s="168">
        <f t="shared" si="4"/>
        <v>1947.9386757452521</v>
      </c>
      <c r="J20" s="168">
        <f t="shared" si="4"/>
        <v>-2942.751119715409</v>
      </c>
      <c r="K20" s="168">
        <f t="shared" si="4"/>
        <v>18651.20921006929</v>
      </c>
      <c r="L20" s="168">
        <f t="shared" si="4"/>
        <v>13156.70199999999</v>
      </c>
      <c r="M20" s="168">
        <f t="shared" si="4"/>
        <v>-8401.2230000000054</v>
      </c>
      <c r="N20" s="168">
        <f t="shared" si="4"/>
        <v>36410.873572886107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</row>
    <row r="21" spans="1:28">
      <c r="A21" s="169" t="s">
        <v>129</v>
      </c>
      <c r="B21" s="168">
        <f t="shared" ref="B21:N21" si="5">B7-B14</f>
        <v>-2457.3574200000003</v>
      </c>
      <c r="C21" s="168">
        <f t="shared" si="5"/>
        <v>6036.3886700000003</v>
      </c>
      <c r="D21" s="168">
        <f t="shared" si="5"/>
        <v>1286.2520000000004</v>
      </c>
      <c r="E21" s="168">
        <f t="shared" si="5"/>
        <v>4.4053000000003522</v>
      </c>
      <c r="F21" s="168">
        <f t="shared" si="5"/>
        <v>1020.2567999999992</v>
      </c>
      <c r="G21" s="168">
        <f t="shared" si="5"/>
        <v>-2211.6699999999983</v>
      </c>
      <c r="H21" s="168">
        <f t="shared" si="5"/>
        <v>-1548.6514707929055</v>
      </c>
      <c r="I21" s="168">
        <f t="shared" si="5"/>
        <v>-1822.2513881220038</v>
      </c>
      <c r="J21" s="168">
        <f t="shared" si="5"/>
        <v>-9374.1876787102065</v>
      </c>
      <c r="K21" s="168">
        <f t="shared" si="5"/>
        <v>-1147.9882879949473</v>
      </c>
      <c r="L21" s="168">
        <f t="shared" si="5"/>
        <v>157.41700000000037</v>
      </c>
      <c r="M21" s="168">
        <f t="shared" si="5"/>
        <v>-1435.8964800000003</v>
      </c>
      <c r="N21" s="168">
        <f t="shared" si="5"/>
        <v>-11493.28295562006</v>
      </c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</row>
    <row r="22" spans="1:28" ht="13.5" thickBot="1">
      <c r="A22" s="167" t="s">
        <v>134</v>
      </c>
      <c r="B22" s="166">
        <f t="shared" ref="B22:N22" si="6">SUM(B18:B21)</f>
        <v>-44706.818420000003</v>
      </c>
      <c r="C22" s="166">
        <f t="shared" si="6"/>
        <v>94787.23066999999</v>
      </c>
      <c r="D22" s="166">
        <f t="shared" si="6"/>
        <v>-21169.868899999994</v>
      </c>
      <c r="E22" s="166">
        <f t="shared" si="6"/>
        <v>13855.260599999981</v>
      </c>
      <c r="F22" s="166">
        <f t="shared" si="6"/>
        <v>2384.7927999999993</v>
      </c>
      <c r="G22" s="166">
        <f t="shared" si="6"/>
        <v>-18811.403000000006</v>
      </c>
      <c r="H22" s="166">
        <f t="shared" si="6"/>
        <v>13463.914922266242</v>
      </c>
      <c r="I22" s="166">
        <f t="shared" si="6"/>
        <v>-5102.5560026759777</v>
      </c>
      <c r="J22" s="166">
        <f t="shared" si="6"/>
        <v>-27418.590034005909</v>
      </c>
      <c r="K22" s="166">
        <f t="shared" si="6"/>
        <v>50266.003639644841</v>
      </c>
      <c r="L22" s="166">
        <f t="shared" si="6"/>
        <v>18191.448999999986</v>
      </c>
      <c r="M22" s="166">
        <f t="shared" si="6"/>
        <v>-32904.669480000004</v>
      </c>
      <c r="N22" s="166">
        <f t="shared" si="6"/>
        <v>42834.74579522913</v>
      </c>
    </row>
    <row r="24" spans="1:28">
      <c r="A24" s="165" t="s">
        <v>135</v>
      </c>
    </row>
    <row r="25" spans="1:28" ht="3.75" customHeight="1"/>
    <row r="26" spans="1:28" ht="13.5" thickBot="1">
      <c r="A26" s="150" t="s">
        <v>136</v>
      </c>
      <c r="B26" s="164">
        <f>'Wind Integration Costs'!E50</f>
        <v>30371.731242934686</v>
      </c>
      <c r="C26" s="164">
        <f>'Wind Integration Costs'!F50</f>
        <v>-72036.375649351918</v>
      </c>
      <c r="D26" s="164">
        <f>'Wind Integration Costs'!G50</f>
        <v>15017.775911256207</v>
      </c>
      <c r="E26" s="164">
        <f>'Wind Integration Costs'!H50</f>
        <v>-6728.5372218474322</v>
      </c>
      <c r="F26" s="164">
        <f>'Wind Integration Costs'!I50</f>
        <v>138.17116899026411</v>
      </c>
      <c r="G26" s="164">
        <f>'Wind Integration Costs'!J50</f>
        <v>12487.320294645606</v>
      </c>
      <c r="H26" s="164">
        <f>'Wind Integration Costs'!K50</f>
        <v>-38952.25997725765</v>
      </c>
      <c r="I26" s="164">
        <f>'Wind Integration Costs'!L50</f>
        <v>-1390.5660408240205</v>
      </c>
      <c r="J26" s="164">
        <f>'Wind Integration Costs'!M50</f>
        <v>31673.633609316006</v>
      </c>
      <c r="K26" s="164">
        <f>'Wind Integration Costs'!N50</f>
        <v>-69832.272187272625</v>
      </c>
      <c r="L26" s="164">
        <f>'Wind Integration Costs'!O50</f>
        <v>-10596.760978157881</v>
      </c>
      <c r="M26" s="164">
        <f>'Wind Integration Costs'!P50</f>
        <v>28168.921930608198</v>
      </c>
      <c r="N26" s="164">
        <f>SUM(B26:M26)</f>
        <v>-81679.217896960559</v>
      </c>
    </row>
    <row r="29" spans="1:28">
      <c r="A29" s="150" t="s">
        <v>109</v>
      </c>
      <c r="B29" s="163">
        <f>+'Load Impact to Cost &amp; Rev'!B5</f>
        <v>26.166627900000002</v>
      </c>
      <c r="C29" s="163">
        <f>+'Load Impact to Cost &amp; Rev'!C5</f>
        <v>25.248548499999998</v>
      </c>
      <c r="D29" s="163">
        <f>+'Load Impact to Cost &amp; Rev'!D5</f>
        <v>19.422534899999999</v>
      </c>
      <c r="E29" s="163">
        <f>+'Load Impact to Cost &amp; Rev'!E5</f>
        <v>15.712296500000001</v>
      </c>
      <c r="F29" s="163">
        <f>+'Load Impact to Cost &amp; Rev'!F5</f>
        <v>8.1115739999999992</v>
      </c>
      <c r="G29" s="163">
        <f>+'Load Impact to Cost &amp; Rev'!G5</f>
        <v>11.432297699999999</v>
      </c>
      <c r="H29" s="163">
        <f>+'Load Impact to Cost &amp; Rev'!H5</f>
        <v>21.182343749999998</v>
      </c>
      <c r="I29" s="163">
        <f>+'Load Impact to Cost &amp; Rev'!I5</f>
        <v>24.540153</v>
      </c>
      <c r="J29" s="163">
        <f>+'Load Impact to Cost &amp; Rev'!J5</f>
        <v>24.166843374999999</v>
      </c>
      <c r="K29" s="163">
        <f>+'Load Impact to Cost &amp; Rev'!K5</f>
        <v>23.564898161290323</v>
      </c>
      <c r="L29" s="163">
        <f>+'Load Impact to Cost &amp; Rev'!L5</f>
        <v>22.771432900000001</v>
      </c>
      <c r="M29" s="163">
        <f>+'Load Impact to Cost &amp; Rev'!M5</f>
        <v>29.9269848</v>
      </c>
      <c r="N29" s="127">
        <f>AVERAGE(B29:M29)</f>
        <v>21.020544623857528</v>
      </c>
      <c r="O29" s="151"/>
    </row>
    <row r="30" spans="1:28">
      <c r="A30" s="150" t="s">
        <v>137</v>
      </c>
      <c r="B30" s="162">
        <v>69.069999999999993</v>
      </c>
      <c r="C30" s="162">
        <v>69.069999999999993</v>
      </c>
      <c r="D30" s="162">
        <v>69.069999999999993</v>
      </c>
      <c r="E30" s="162">
        <v>69.069999999999993</v>
      </c>
      <c r="F30" s="162">
        <v>69.069999999999993</v>
      </c>
      <c r="G30" s="162">
        <v>69.069999999999993</v>
      </c>
      <c r="H30" s="151">
        <v>67.540000000000006</v>
      </c>
      <c r="I30" s="151">
        <v>67.540000000000006</v>
      </c>
      <c r="J30" s="151">
        <v>67.540000000000006</v>
      </c>
      <c r="K30" s="151">
        <v>67.540000000000006</v>
      </c>
      <c r="L30" s="151">
        <v>67.540000000000006</v>
      </c>
      <c r="M30" s="151">
        <v>67.540000000000006</v>
      </c>
      <c r="N30" s="151"/>
      <c r="Q30" s="134"/>
    </row>
    <row r="32" spans="1:28">
      <c r="A32" s="150" t="s">
        <v>138</v>
      </c>
      <c r="B32" s="161">
        <f t="shared" ref="B32:M32" si="7">B26</f>
        <v>30371.731242934686</v>
      </c>
      <c r="C32" s="161">
        <f t="shared" si="7"/>
        <v>-72036.375649351918</v>
      </c>
      <c r="D32" s="161">
        <f t="shared" si="7"/>
        <v>15017.775911256207</v>
      </c>
      <c r="E32" s="161">
        <f t="shared" si="7"/>
        <v>-6728.5372218474322</v>
      </c>
      <c r="F32" s="161">
        <f t="shared" si="7"/>
        <v>138.17116899026411</v>
      </c>
      <c r="G32" s="161">
        <f t="shared" si="7"/>
        <v>12487.320294645606</v>
      </c>
      <c r="H32" s="161">
        <f t="shared" si="7"/>
        <v>-38952.25997725765</v>
      </c>
      <c r="I32" s="161">
        <f t="shared" si="7"/>
        <v>-1390.5660408240205</v>
      </c>
      <c r="J32" s="161">
        <f t="shared" si="7"/>
        <v>31673.633609316006</v>
      </c>
      <c r="K32" s="161">
        <f t="shared" si="7"/>
        <v>-69832.272187272625</v>
      </c>
      <c r="L32" s="161">
        <f t="shared" si="7"/>
        <v>-10596.760978157881</v>
      </c>
      <c r="M32" s="161">
        <f t="shared" si="7"/>
        <v>28168.921930608198</v>
      </c>
      <c r="N32" s="161">
        <f>SUM(B32:M32)</f>
        <v>-81679.217896960559</v>
      </c>
    </row>
    <row r="33" spans="1:14">
      <c r="A33" s="150" t="s">
        <v>139</v>
      </c>
      <c r="B33" s="161">
        <f t="shared" ref="B33:M33" si="8">B22*B29</f>
        <v>-1169826.6821890061</v>
      </c>
      <c r="C33" s="161">
        <f t="shared" si="8"/>
        <v>2393239.990752182</v>
      </c>
      <c r="D33" s="161">
        <f t="shared" si="8"/>
        <v>-411172.51753867447</v>
      </c>
      <c r="E33" s="161">
        <f t="shared" si="8"/>
        <v>217697.96263196762</v>
      </c>
      <c r="F33" s="161">
        <f t="shared" si="8"/>
        <v>19344.423271867192</v>
      </c>
      <c r="G33" s="161">
        <f t="shared" si="8"/>
        <v>-215057.55925067316</v>
      </c>
      <c r="H33" s="161">
        <f t="shared" si="8"/>
        <v>285197.27410419803</v>
      </c>
      <c r="I33" s="161">
        <f t="shared" si="8"/>
        <v>-125217.5049967369</v>
      </c>
      <c r="J33" s="161">
        <f t="shared" si="8"/>
        <v>-662620.7709151567</v>
      </c>
      <c r="K33" s="161">
        <f t="shared" si="8"/>
        <v>1184513.2567432793</v>
      </c>
      <c r="L33" s="161">
        <f t="shared" si="8"/>
        <v>414245.36025727179</v>
      </c>
      <c r="M33" s="161">
        <f t="shared" si="8"/>
        <v>-984737.54337698396</v>
      </c>
      <c r="N33" s="161">
        <f>SUM(B33:M33)</f>
        <v>945605.68949353474</v>
      </c>
    </row>
    <row r="34" spans="1:14">
      <c r="A34" s="150" t="s">
        <v>140</v>
      </c>
      <c r="B34" s="161">
        <f t="shared" ref="B34:M34" si="9">-B21*B30</f>
        <v>169729.67699939999</v>
      </c>
      <c r="C34" s="161">
        <f t="shared" si="9"/>
        <v>-416933.3654369</v>
      </c>
      <c r="D34" s="161">
        <f t="shared" si="9"/>
        <v>-88841.425640000016</v>
      </c>
      <c r="E34" s="161">
        <f t="shared" si="9"/>
        <v>-304.27407100002432</v>
      </c>
      <c r="F34" s="161">
        <f t="shared" si="9"/>
        <v>-70469.137175999931</v>
      </c>
      <c r="G34" s="161">
        <f t="shared" si="9"/>
        <v>152760.04689999987</v>
      </c>
      <c r="H34" s="161">
        <f t="shared" si="9"/>
        <v>104595.92033735284</v>
      </c>
      <c r="I34" s="161">
        <f t="shared" si="9"/>
        <v>123074.85875376016</v>
      </c>
      <c r="J34" s="161">
        <f t="shared" si="9"/>
        <v>633132.63582008739</v>
      </c>
      <c r="K34" s="161">
        <f t="shared" si="9"/>
        <v>77535.128971178754</v>
      </c>
      <c r="L34" s="161">
        <f t="shared" si="9"/>
        <v>-10631.944180000026</v>
      </c>
      <c r="M34" s="161">
        <f t="shared" si="9"/>
        <v>96980.448259200028</v>
      </c>
      <c r="N34" s="161">
        <f>SUM(B34:M34)</f>
        <v>770628.56953707919</v>
      </c>
    </row>
    <row r="35" spans="1:14" ht="13.5" thickBot="1">
      <c r="A35" s="150" t="s">
        <v>141</v>
      </c>
      <c r="B35" s="160">
        <f t="shared" ref="B35:N35" si="10">SUM(B32:B34)</f>
        <v>-969725.2739466714</v>
      </c>
      <c r="C35" s="160">
        <f t="shared" si="10"/>
        <v>1904270.2496659299</v>
      </c>
      <c r="D35" s="160">
        <f t="shared" si="10"/>
        <v>-484996.16726741829</v>
      </c>
      <c r="E35" s="160">
        <f t="shared" si="10"/>
        <v>210665.15133912017</v>
      </c>
      <c r="F35" s="160">
        <f t="shared" si="10"/>
        <v>-50986.542735142473</v>
      </c>
      <c r="G35" s="160">
        <f t="shared" si="10"/>
        <v>-49810.192056027678</v>
      </c>
      <c r="H35" s="160">
        <f t="shared" si="10"/>
        <v>350840.93446429324</v>
      </c>
      <c r="I35" s="160">
        <f t="shared" si="10"/>
        <v>-3533.2122838007635</v>
      </c>
      <c r="J35" s="160">
        <f t="shared" si="10"/>
        <v>2185.4985142466612</v>
      </c>
      <c r="K35" s="160">
        <f t="shared" si="10"/>
        <v>1192216.1135271855</v>
      </c>
      <c r="L35" s="160">
        <f t="shared" si="10"/>
        <v>393016.65509911388</v>
      </c>
      <c r="M35" s="160">
        <f t="shared" si="10"/>
        <v>-859588.17318717577</v>
      </c>
      <c r="N35" s="160">
        <f t="shared" si="10"/>
        <v>1634555.0411336534</v>
      </c>
    </row>
    <row r="36" spans="1:14" ht="13.5" thickTop="1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ht="13.5" thickBot="1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ht="13.5" thickBot="1">
      <c r="A38" s="159" t="s">
        <v>139</v>
      </c>
      <c r="B38" s="158" t="s">
        <v>142</v>
      </c>
      <c r="C38" s="156" t="str">
        <f>IF(N8 &gt;N15,"&gt;","&lt;")</f>
        <v>&gt;</v>
      </c>
      <c r="D38" s="155" t="s">
        <v>143</v>
      </c>
      <c r="E38" s="152"/>
      <c r="F38" s="152"/>
      <c r="G38" s="156" t="str">
        <f>IF(N8 &gt;N15,"MORE","LESS")</f>
        <v>MORE</v>
      </c>
      <c r="H38" s="157" t="s">
        <v>144</v>
      </c>
      <c r="I38" s="152"/>
      <c r="J38" s="156" t="str">
        <f>IF(N8 &gt;N15,"INCREASE","DECREASE")</f>
        <v>INCREASE</v>
      </c>
      <c r="K38" s="155" t="s">
        <v>145</v>
      </c>
      <c r="L38" s="155">
        <f>+N33</f>
        <v>945605.68949353474</v>
      </c>
      <c r="M38" s="152" t="s">
        <v>489</v>
      </c>
      <c r="N38" s="152"/>
    </row>
    <row r="40" spans="1:14">
      <c r="A40" s="154" t="s">
        <v>347</v>
      </c>
    </row>
    <row r="41" spans="1:14">
      <c r="A41" s="153" t="s">
        <v>488</v>
      </c>
    </row>
    <row r="42" spans="1:14">
      <c r="A42" s="150" t="s">
        <v>487</v>
      </c>
    </row>
    <row r="43" spans="1:14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1:14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4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>
      <c r="B46" s="151"/>
    </row>
  </sheetData>
  <pageMargins left="0.7" right="0.7" top="0.75" bottom="0.75" header="0.3" footer="0.3"/>
  <pageSetup scale="56" orientation="landscape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"/>
  <sheetViews>
    <sheetView workbookViewId="0">
      <selection activeCell="M26" sqref="M26"/>
    </sheetView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2:O88"/>
  <sheetViews>
    <sheetView zoomScale="70" zoomScaleNormal="70" workbookViewId="0">
      <selection activeCell="M26" sqref="M26"/>
    </sheetView>
  </sheetViews>
  <sheetFormatPr defaultRowHeight="12.75"/>
  <cols>
    <col min="1" max="1" width="32.5703125" style="178" bestFit="1" customWidth="1"/>
    <col min="2" max="2" width="25.140625" style="178" bestFit="1" customWidth="1"/>
    <col min="3" max="3" width="14.85546875" style="178" customWidth="1"/>
    <col min="4" max="8" width="12.5703125" style="178" bestFit="1" customWidth="1"/>
    <col min="9" max="10" width="14" style="178" bestFit="1" customWidth="1"/>
    <col min="11" max="13" width="16.85546875" style="726" bestFit="1" customWidth="1"/>
    <col min="14" max="14" width="12.5703125" style="726" customWidth="1"/>
    <col min="15" max="15" width="14" style="726" bestFit="1" customWidth="1"/>
    <col min="16" max="16384" width="9.140625" style="726"/>
  </cols>
  <sheetData>
    <row r="2" spans="1:15">
      <c r="A2" s="770" t="s">
        <v>146</v>
      </c>
    </row>
    <row r="3" spans="1:15">
      <c r="A3" s="186" t="s">
        <v>147</v>
      </c>
      <c r="B3" s="187"/>
      <c r="C3" s="186" t="s">
        <v>148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771"/>
    </row>
    <row r="4" spans="1:15">
      <c r="A4" s="186" t="s">
        <v>149</v>
      </c>
      <c r="B4" s="186" t="s">
        <v>150</v>
      </c>
      <c r="C4" s="772">
        <f>'Summary Normalization'!B2</f>
        <v>44197</v>
      </c>
      <c r="D4" s="773">
        <f>'Summary Normalization'!C2</f>
        <v>44228</v>
      </c>
      <c r="E4" s="773">
        <f>'Summary Normalization'!D2</f>
        <v>44256</v>
      </c>
      <c r="F4" s="773">
        <f>'Summary Normalization'!E2</f>
        <v>44287</v>
      </c>
      <c r="G4" s="773">
        <f>'Summary Normalization'!F2</f>
        <v>44317</v>
      </c>
      <c r="H4" s="773">
        <f>'Summary Normalization'!G2</f>
        <v>44348</v>
      </c>
      <c r="I4" s="773">
        <f>'Summary Normalization'!H2</f>
        <v>44013</v>
      </c>
      <c r="J4" s="773">
        <f>'Summary Normalization'!I2</f>
        <v>44044</v>
      </c>
      <c r="K4" s="773">
        <f>'Summary Normalization'!J2</f>
        <v>44075</v>
      </c>
      <c r="L4" s="773">
        <f>'Summary Normalization'!K2</f>
        <v>44105</v>
      </c>
      <c r="M4" s="773">
        <f>'Summary Normalization'!L2</f>
        <v>44136</v>
      </c>
      <c r="N4" s="773">
        <f>'Summary Normalization'!M2</f>
        <v>44166</v>
      </c>
      <c r="O4" s="774" t="s">
        <v>163</v>
      </c>
    </row>
    <row r="5" spans="1:15">
      <c r="A5" s="186" t="s">
        <v>164</v>
      </c>
      <c r="B5" s="186" t="s">
        <v>165</v>
      </c>
      <c r="C5" s="185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3"/>
    </row>
    <row r="6" spans="1:15">
      <c r="A6" s="182"/>
      <c r="B6" s="181" t="s">
        <v>166</v>
      </c>
      <c r="C6" s="188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79"/>
    </row>
    <row r="7" spans="1:15">
      <c r="A7" s="182"/>
      <c r="B7" s="181" t="s">
        <v>167</v>
      </c>
      <c r="C7" s="188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79"/>
    </row>
    <row r="8" spans="1:15">
      <c r="A8" s="182"/>
      <c r="B8" s="181" t="s">
        <v>168</v>
      </c>
      <c r="C8" s="188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79"/>
    </row>
    <row r="9" spans="1:15">
      <c r="A9" s="182"/>
      <c r="B9" s="181" t="s">
        <v>169</v>
      </c>
      <c r="C9" s="188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79"/>
    </row>
    <row r="10" spans="1:15">
      <c r="A10" s="182"/>
      <c r="B10" s="181" t="s">
        <v>170</v>
      </c>
      <c r="C10" s="188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79"/>
    </row>
    <row r="11" spans="1:15">
      <c r="A11" s="182"/>
      <c r="B11" s="181" t="s">
        <v>171</v>
      </c>
      <c r="C11" s="188">
        <v>151908000</v>
      </c>
      <c r="D11" s="180">
        <v>125268000</v>
      </c>
      <c r="E11" s="180">
        <v>85271000</v>
      </c>
      <c r="F11" s="180">
        <v>96678000</v>
      </c>
      <c r="G11" s="180">
        <v>148955000</v>
      </c>
      <c r="H11" s="180">
        <v>151453000</v>
      </c>
      <c r="I11" s="180">
        <v>158345000</v>
      </c>
      <c r="J11" s="180">
        <v>129850000</v>
      </c>
      <c r="K11" s="180">
        <v>86762000</v>
      </c>
      <c r="L11" s="180">
        <v>84155000</v>
      </c>
      <c r="M11" s="180">
        <v>122119000</v>
      </c>
      <c r="N11" s="180">
        <v>124615000</v>
      </c>
      <c r="O11" s="179">
        <f>SUM(C11:N11)</f>
        <v>1465379000</v>
      </c>
    </row>
    <row r="12" spans="1:15">
      <c r="A12" s="182"/>
      <c r="B12" s="181" t="s">
        <v>172</v>
      </c>
      <c r="C12" s="188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79"/>
    </row>
    <row r="13" spans="1:15">
      <c r="A13" s="182"/>
      <c r="B13" s="181" t="s">
        <v>173</v>
      </c>
      <c r="C13" s="188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79"/>
    </row>
    <row r="14" spans="1:15">
      <c r="A14" s="182"/>
      <c r="B14" s="181" t="s">
        <v>174</v>
      </c>
      <c r="C14" s="188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79"/>
    </row>
    <row r="15" spans="1:15">
      <c r="A15" s="182"/>
      <c r="B15" s="181" t="s">
        <v>175</v>
      </c>
      <c r="C15" s="188">
        <v>64625000</v>
      </c>
      <c r="D15" s="180">
        <v>51930000</v>
      </c>
      <c r="E15" s="180">
        <v>39051000</v>
      </c>
      <c r="F15" s="180">
        <v>41281000</v>
      </c>
      <c r="G15" s="180">
        <v>60903000</v>
      </c>
      <c r="H15" s="180">
        <v>59244000</v>
      </c>
      <c r="I15" s="180">
        <v>56969000</v>
      </c>
      <c r="J15" s="180">
        <v>52881000</v>
      </c>
      <c r="K15" s="180">
        <v>38476000</v>
      </c>
      <c r="L15" s="180">
        <v>41989000</v>
      </c>
      <c r="M15" s="180">
        <v>53709000</v>
      </c>
      <c r="N15" s="180">
        <v>56273000</v>
      </c>
      <c r="O15" s="179">
        <f t="shared" ref="O15:O21" si="0">SUM(C15:N15)</f>
        <v>617331000</v>
      </c>
    </row>
    <row r="16" spans="1:15">
      <c r="A16" s="186" t="s">
        <v>176</v>
      </c>
      <c r="B16" s="186" t="s">
        <v>177</v>
      </c>
      <c r="C16" s="185">
        <v>-3224000</v>
      </c>
      <c r="D16" s="184">
        <v>-2898000</v>
      </c>
      <c r="E16" s="184">
        <v>-3240000</v>
      </c>
      <c r="F16" s="184">
        <v>-3224000</v>
      </c>
      <c r="G16" s="184">
        <v>-3224000</v>
      </c>
      <c r="H16" s="184">
        <v>-3224000</v>
      </c>
      <c r="I16" s="184">
        <v>-3348000</v>
      </c>
      <c r="J16" s="184">
        <v>-3224000</v>
      </c>
      <c r="K16" s="184">
        <v>-3224000</v>
      </c>
      <c r="L16" s="184">
        <v>-3348000</v>
      </c>
      <c r="M16" s="184">
        <v>-3100000</v>
      </c>
      <c r="N16" s="184">
        <v>-3348000</v>
      </c>
      <c r="O16" s="183">
        <f t="shared" si="0"/>
        <v>-38626000</v>
      </c>
    </row>
    <row r="17" spans="1:15">
      <c r="A17" s="186" t="s">
        <v>178</v>
      </c>
      <c r="B17" s="186" t="s">
        <v>177</v>
      </c>
      <c r="C17" s="185">
        <v>-6656000</v>
      </c>
      <c r="D17" s="184">
        <v>-6144000</v>
      </c>
      <c r="E17" s="184">
        <v>-6969000</v>
      </c>
      <c r="F17" s="184">
        <v>-6656000</v>
      </c>
      <c r="G17" s="184">
        <v>-6656000</v>
      </c>
      <c r="H17" s="184">
        <v>-6656000</v>
      </c>
      <c r="I17" s="184">
        <v>-6912000</v>
      </c>
      <c r="J17" s="184">
        <v>-6656000</v>
      </c>
      <c r="K17" s="184">
        <v>-6656000</v>
      </c>
      <c r="L17" s="184">
        <v>-6912000</v>
      </c>
      <c r="M17" s="184">
        <v>-6400000</v>
      </c>
      <c r="N17" s="184">
        <v>-6912000</v>
      </c>
      <c r="O17" s="183">
        <f t="shared" si="0"/>
        <v>-80185000</v>
      </c>
    </row>
    <row r="18" spans="1:15">
      <c r="A18" s="186" t="s">
        <v>179</v>
      </c>
      <c r="B18" s="186" t="s">
        <v>180</v>
      </c>
      <c r="C18" s="185">
        <v>100824000</v>
      </c>
      <c r="D18" s="184">
        <v>82651000</v>
      </c>
      <c r="E18" s="184">
        <v>67849000</v>
      </c>
      <c r="F18" s="184">
        <v>83970000</v>
      </c>
      <c r="G18" s="184">
        <v>124489234.84999999</v>
      </c>
      <c r="H18" s="184">
        <v>130441000</v>
      </c>
      <c r="I18" s="184">
        <v>154424000</v>
      </c>
      <c r="J18" s="184">
        <v>132855000</v>
      </c>
      <c r="K18" s="184">
        <v>78860000</v>
      </c>
      <c r="L18" s="184">
        <v>76689000</v>
      </c>
      <c r="M18" s="184">
        <v>113520000</v>
      </c>
      <c r="N18" s="184">
        <v>87897000</v>
      </c>
      <c r="O18" s="183">
        <f t="shared" si="0"/>
        <v>1234469234.8499999</v>
      </c>
    </row>
    <row r="19" spans="1:15">
      <c r="A19" s="186" t="s">
        <v>181</v>
      </c>
      <c r="B19" s="186" t="s">
        <v>180</v>
      </c>
      <c r="C19" s="185">
        <v>48826000</v>
      </c>
      <c r="D19" s="184">
        <v>40130000</v>
      </c>
      <c r="E19" s="184">
        <v>25720000</v>
      </c>
      <c r="F19" s="184">
        <v>28286000</v>
      </c>
      <c r="G19" s="184">
        <v>41558000</v>
      </c>
      <c r="H19" s="184">
        <v>46628000</v>
      </c>
      <c r="I19" s="184">
        <v>48168000</v>
      </c>
      <c r="J19" s="184">
        <v>40242000</v>
      </c>
      <c r="K19" s="184">
        <v>26065000</v>
      </c>
      <c r="L19" s="184">
        <v>24652000</v>
      </c>
      <c r="M19" s="184">
        <v>35659000</v>
      </c>
      <c r="N19" s="184">
        <v>39662000</v>
      </c>
      <c r="O19" s="183">
        <f t="shared" si="0"/>
        <v>445596000</v>
      </c>
    </row>
    <row r="20" spans="1:15">
      <c r="A20" s="186" t="s">
        <v>182</v>
      </c>
      <c r="B20" s="186" t="s">
        <v>183</v>
      </c>
      <c r="C20" s="185">
        <v>3939000</v>
      </c>
      <c r="D20" s="184">
        <v>13212000</v>
      </c>
      <c r="E20" s="184">
        <v>11299000</v>
      </c>
      <c r="F20" s="184">
        <v>14073000</v>
      </c>
      <c r="G20" s="184">
        <v>15592000</v>
      </c>
      <c r="H20" s="184">
        <v>14486000</v>
      </c>
      <c r="I20" s="184">
        <v>18031000</v>
      </c>
      <c r="J20" s="184">
        <v>16326000</v>
      </c>
      <c r="K20" s="184">
        <v>4556000</v>
      </c>
      <c r="L20" s="184">
        <v>8279000</v>
      </c>
      <c r="M20" s="184">
        <v>7492000</v>
      </c>
      <c r="N20" s="184">
        <v>5509000</v>
      </c>
      <c r="O20" s="183">
        <f t="shared" si="0"/>
        <v>132794000</v>
      </c>
    </row>
    <row r="21" spans="1:15">
      <c r="A21" s="775" t="s">
        <v>163</v>
      </c>
      <c r="B21" s="776"/>
      <c r="C21" s="777">
        <f t="shared" ref="C21:N21" si="1">SUM(C5:C20)</f>
        <v>360242000</v>
      </c>
      <c r="D21" s="778">
        <f t="shared" si="1"/>
        <v>304149000</v>
      </c>
      <c r="E21" s="778">
        <f t="shared" si="1"/>
        <v>218981000</v>
      </c>
      <c r="F21" s="778">
        <f t="shared" si="1"/>
        <v>254408000</v>
      </c>
      <c r="G21" s="778">
        <f t="shared" si="1"/>
        <v>381617234.85000002</v>
      </c>
      <c r="H21" s="778">
        <f t="shared" si="1"/>
        <v>392372000</v>
      </c>
      <c r="I21" s="778">
        <f t="shared" si="1"/>
        <v>425677000</v>
      </c>
      <c r="J21" s="778">
        <f t="shared" si="1"/>
        <v>362274000</v>
      </c>
      <c r="K21" s="778">
        <f t="shared" si="1"/>
        <v>224839000</v>
      </c>
      <c r="L21" s="778">
        <f t="shared" si="1"/>
        <v>225504000</v>
      </c>
      <c r="M21" s="778">
        <f t="shared" si="1"/>
        <v>322999000</v>
      </c>
      <c r="N21" s="778">
        <f t="shared" si="1"/>
        <v>303696000</v>
      </c>
      <c r="O21" s="779">
        <f t="shared" si="0"/>
        <v>3776758234.8499999</v>
      </c>
    </row>
    <row r="23" spans="1:15">
      <c r="B23" s="780" t="s">
        <v>184</v>
      </c>
      <c r="C23" s="781">
        <f t="shared" ref="C23:O23" si="2">(C11+C15+C18+C19)/1000</f>
        <v>366183</v>
      </c>
      <c r="D23" s="781">
        <f t="shared" si="2"/>
        <v>299979</v>
      </c>
      <c r="E23" s="781">
        <f t="shared" si="2"/>
        <v>217891</v>
      </c>
      <c r="F23" s="781">
        <f t="shared" si="2"/>
        <v>250215</v>
      </c>
      <c r="G23" s="781">
        <f t="shared" si="2"/>
        <v>375905.23485000001</v>
      </c>
      <c r="H23" s="781">
        <f t="shared" si="2"/>
        <v>387766</v>
      </c>
      <c r="I23" s="781">
        <f t="shared" si="2"/>
        <v>417906</v>
      </c>
      <c r="J23" s="781">
        <f t="shared" si="2"/>
        <v>355828</v>
      </c>
      <c r="K23" s="781">
        <f t="shared" si="2"/>
        <v>230163</v>
      </c>
      <c r="L23" s="781">
        <f t="shared" si="2"/>
        <v>227485</v>
      </c>
      <c r="M23" s="781">
        <f t="shared" si="2"/>
        <v>325007</v>
      </c>
      <c r="N23" s="781">
        <f t="shared" si="2"/>
        <v>308447</v>
      </c>
      <c r="O23" s="782">
        <f t="shared" si="2"/>
        <v>3762775.2348500001</v>
      </c>
    </row>
    <row r="24" spans="1:15">
      <c r="B24" s="783" t="s">
        <v>185</v>
      </c>
      <c r="C24" s="784">
        <f t="shared" ref="C24:O24" si="3">(C16+C17)/1000</f>
        <v>-9880</v>
      </c>
      <c r="D24" s="784">
        <f t="shared" si="3"/>
        <v>-9042</v>
      </c>
      <c r="E24" s="784">
        <f t="shared" si="3"/>
        <v>-10209</v>
      </c>
      <c r="F24" s="784">
        <f t="shared" si="3"/>
        <v>-9880</v>
      </c>
      <c r="G24" s="784">
        <f t="shared" si="3"/>
        <v>-9880</v>
      </c>
      <c r="H24" s="784">
        <f t="shared" si="3"/>
        <v>-9880</v>
      </c>
      <c r="I24" s="784">
        <f t="shared" si="3"/>
        <v>-10260</v>
      </c>
      <c r="J24" s="784">
        <f t="shared" si="3"/>
        <v>-9880</v>
      </c>
      <c r="K24" s="784">
        <f t="shared" si="3"/>
        <v>-9880</v>
      </c>
      <c r="L24" s="784">
        <f t="shared" si="3"/>
        <v>-10260</v>
      </c>
      <c r="M24" s="784">
        <f t="shared" si="3"/>
        <v>-9500</v>
      </c>
      <c r="N24" s="784">
        <f t="shared" si="3"/>
        <v>-10260</v>
      </c>
      <c r="O24" s="785">
        <f t="shared" si="3"/>
        <v>-118811</v>
      </c>
    </row>
    <row r="25" spans="1:15">
      <c r="B25" s="786"/>
      <c r="C25" s="787">
        <f t="shared" ref="C25:O25" si="4">SUM(C23:C24)</f>
        <v>356303</v>
      </c>
      <c r="D25" s="787">
        <f t="shared" si="4"/>
        <v>290937</v>
      </c>
      <c r="E25" s="787">
        <f t="shared" si="4"/>
        <v>207682</v>
      </c>
      <c r="F25" s="787">
        <f t="shared" si="4"/>
        <v>240335</v>
      </c>
      <c r="G25" s="787">
        <f t="shared" si="4"/>
        <v>366025.23485000001</v>
      </c>
      <c r="H25" s="787">
        <f t="shared" si="4"/>
        <v>377886</v>
      </c>
      <c r="I25" s="787">
        <f t="shared" si="4"/>
        <v>407646</v>
      </c>
      <c r="J25" s="787">
        <f t="shared" si="4"/>
        <v>345948</v>
      </c>
      <c r="K25" s="787">
        <f t="shared" si="4"/>
        <v>220283</v>
      </c>
      <c r="L25" s="787">
        <f t="shared" si="4"/>
        <v>217225</v>
      </c>
      <c r="M25" s="787">
        <f t="shared" si="4"/>
        <v>315507</v>
      </c>
      <c r="N25" s="787">
        <f t="shared" si="4"/>
        <v>298187</v>
      </c>
      <c r="O25" s="788">
        <f t="shared" si="4"/>
        <v>3643964.2348500001</v>
      </c>
    </row>
    <row r="27" spans="1:15">
      <c r="A27" s="770" t="s">
        <v>67</v>
      </c>
    </row>
    <row r="28" spans="1:15" s="178" customFormat="1">
      <c r="A28" s="186" t="s">
        <v>147</v>
      </c>
      <c r="B28" s="187"/>
      <c r="C28" s="186" t="s">
        <v>148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771"/>
    </row>
    <row r="29" spans="1:15">
      <c r="A29" s="186" t="s">
        <v>149</v>
      </c>
      <c r="B29" s="186" t="s">
        <v>150</v>
      </c>
      <c r="C29" s="772">
        <f t="shared" ref="C29:N29" si="5">C4</f>
        <v>44197</v>
      </c>
      <c r="D29" s="773">
        <f t="shared" si="5"/>
        <v>44228</v>
      </c>
      <c r="E29" s="773">
        <f t="shared" si="5"/>
        <v>44256</v>
      </c>
      <c r="F29" s="773">
        <f t="shared" si="5"/>
        <v>44287</v>
      </c>
      <c r="G29" s="773">
        <f t="shared" si="5"/>
        <v>44317</v>
      </c>
      <c r="H29" s="773">
        <f t="shared" si="5"/>
        <v>44348</v>
      </c>
      <c r="I29" s="773">
        <f t="shared" si="5"/>
        <v>44013</v>
      </c>
      <c r="J29" s="773">
        <f t="shared" si="5"/>
        <v>44044</v>
      </c>
      <c r="K29" s="773">
        <f t="shared" si="5"/>
        <v>44075</v>
      </c>
      <c r="L29" s="773">
        <f t="shared" si="5"/>
        <v>44105</v>
      </c>
      <c r="M29" s="773">
        <f t="shared" si="5"/>
        <v>44136</v>
      </c>
      <c r="N29" s="773">
        <f t="shared" si="5"/>
        <v>44166</v>
      </c>
      <c r="O29" s="774" t="s">
        <v>163</v>
      </c>
    </row>
    <row r="30" spans="1:15" s="178" customFormat="1">
      <c r="A30" s="186" t="s">
        <v>186</v>
      </c>
      <c r="B30" s="186" t="s">
        <v>187</v>
      </c>
      <c r="C30" s="185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O30" s="183"/>
    </row>
    <row r="31" spans="1:15" s="178" customFormat="1">
      <c r="A31" s="182"/>
      <c r="B31" s="181" t="s">
        <v>188</v>
      </c>
      <c r="C31" s="188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0">
        <v>0</v>
      </c>
      <c r="O31" s="179">
        <v>0</v>
      </c>
    </row>
    <row r="32" spans="1:15" s="178" customFormat="1">
      <c r="A32" s="182"/>
      <c r="B32" s="181" t="s">
        <v>189</v>
      </c>
      <c r="C32" s="188">
        <v>0</v>
      </c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0">
        <v>0</v>
      </c>
      <c r="O32" s="179">
        <v>0</v>
      </c>
    </row>
    <row r="33" spans="1:15" s="178" customFormat="1">
      <c r="A33" s="186" t="s">
        <v>190</v>
      </c>
      <c r="B33" s="187"/>
      <c r="C33" s="185">
        <v>0</v>
      </c>
      <c r="D33" s="184">
        <v>0</v>
      </c>
      <c r="E33" s="184">
        <v>0</v>
      </c>
      <c r="F33" s="184">
        <v>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83">
        <v>0</v>
      </c>
    </row>
    <row r="34" spans="1:15" s="178" customFormat="1">
      <c r="A34" s="186" t="s">
        <v>93</v>
      </c>
      <c r="B34" s="186" t="s">
        <v>187</v>
      </c>
      <c r="C34" s="185">
        <v>0</v>
      </c>
      <c r="D34" s="184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3"/>
    </row>
    <row r="35" spans="1:15" s="178" customFormat="1">
      <c r="A35" s="182"/>
      <c r="B35" s="181" t="s">
        <v>188</v>
      </c>
      <c r="C35" s="188">
        <v>37938100</v>
      </c>
      <c r="D35" s="180">
        <v>24787900</v>
      </c>
      <c r="E35" s="180">
        <v>15490200</v>
      </c>
      <c r="F35" s="180">
        <v>15359800</v>
      </c>
      <c r="G35" s="180">
        <v>15523500</v>
      </c>
      <c r="H35" s="180">
        <v>49484900</v>
      </c>
      <c r="I35" s="180">
        <v>39871200</v>
      </c>
      <c r="J35" s="180">
        <v>21663700</v>
      </c>
      <c r="K35" s="180">
        <v>21003600</v>
      </c>
      <c r="L35" s="180">
        <v>49105100</v>
      </c>
      <c r="M35" s="180">
        <v>47219600</v>
      </c>
      <c r="N35" s="180">
        <v>27519100</v>
      </c>
      <c r="O35" s="179">
        <f>SUM(C35:N35)</f>
        <v>364966700</v>
      </c>
    </row>
    <row r="36" spans="1:15" s="178" customFormat="1">
      <c r="A36" s="182"/>
      <c r="B36" s="181" t="s">
        <v>189</v>
      </c>
      <c r="C36" s="188">
        <v>-66800</v>
      </c>
      <c r="D36" s="180">
        <v>-71300</v>
      </c>
      <c r="E36" s="180">
        <v>-66600</v>
      </c>
      <c r="F36" s="180">
        <v>-50900</v>
      </c>
      <c r="G36" s="180">
        <v>-43700</v>
      </c>
      <c r="H36" s="180">
        <v>-43800</v>
      </c>
      <c r="I36" s="180">
        <v>-45300</v>
      </c>
      <c r="J36" s="180">
        <v>-50700</v>
      </c>
      <c r="K36" s="180">
        <v>-43200</v>
      </c>
      <c r="L36" s="180">
        <v>-46200</v>
      </c>
      <c r="M36" s="180">
        <v>-55500</v>
      </c>
      <c r="N36" s="180">
        <v>-71100</v>
      </c>
      <c r="O36" s="179">
        <f>SUM(C36:N36)</f>
        <v>-655100</v>
      </c>
    </row>
    <row r="37" spans="1:15" s="178" customFormat="1">
      <c r="A37" s="186" t="s">
        <v>191</v>
      </c>
      <c r="B37" s="187"/>
      <c r="C37" s="185">
        <f t="shared" ref="C37:N37" si="6">SUM(C35:C36)</f>
        <v>37871300</v>
      </c>
      <c r="D37" s="184">
        <f t="shared" si="6"/>
        <v>24716600</v>
      </c>
      <c r="E37" s="184">
        <f t="shared" si="6"/>
        <v>15423600</v>
      </c>
      <c r="F37" s="184">
        <f t="shared" si="6"/>
        <v>15308900</v>
      </c>
      <c r="G37" s="184">
        <f t="shared" si="6"/>
        <v>15479800</v>
      </c>
      <c r="H37" s="184">
        <f t="shared" si="6"/>
        <v>49441100</v>
      </c>
      <c r="I37" s="184">
        <f t="shared" si="6"/>
        <v>39825900</v>
      </c>
      <c r="J37" s="184">
        <f t="shared" si="6"/>
        <v>21613000</v>
      </c>
      <c r="K37" s="184">
        <f t="shared" si="6"/>
        <v>20960400</v>
      </c>
      <c r="L37" s="184">
        <f t="shared" si="6"/>
        <v>49058900</v>
      </c>
      <c r="M37" s="184">
        <f t="shared" si="6"/>
        <v>47164100</v>
      </c>
      <c r="N37" s="184">
        <f t="shared" si="6"/>
        <v>27448000</v>
      </c>
      <c r="O37" s="183">
        <f>SUM(C37:N37)</f>
        <v>364311600</v>
      </c>
    </row>
    <row r="38" spans="1:15" s="178" customFormat="1">
      <c r="A38" s="186" t="s">
        <v>192</v>
      </c>
      <c r="B38" s="186" t="s">
        <v>187</v>
      </c>
      <c r="C38" s="185">
        <v>0</v>
      </c>
      <c r="D38" s="184">
        <v>0</v>
      </c>
      <c r="E38" s="184">
        <v>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183"/>
    </row>
    <row r="39" spans="1:15" s="178" customFormat="1">
      <c r="A39" s="182"/>
      <c r="B39" s="181" t="s">
        <v>188</v>
      </c>
      <c r="C39" s="188">
        <v>3871000</v>
      </c>
      <c r="D39" s="180">
        <v>3368000</v>
      </c>
      <c r="E39" s="180">
        <v>1614000</v>
      </c>
      <c r="F39" s="180">
        <v>3272000</v>
      </c>
      <c r="G39" s="180">
        <v>2961000</v>
      </c>
      <c r="H39" s="180">
        <v>2789000</v>
      </c>
      <c r="I39" s="180">
        <v>2172000</v>
      </c>
      <c r="J39" s="180">
        <v>3113000</v>
      </c>
      <c r="K39" s="180">
        <v>2943000</v>
      </c>
      <c r="L39" s="180">
        <v>3076000</v>
      </c>
      <c r="M39" s="180">
        <v>3663000</v>
      </c>
      <c r="N39" s="180">
        <v>4155000</v>
      </c>
      <c r="O39" s="179">
        <f>SUM(C39:N39)</f>
        <v>36997000</v>
      </c>
    </row>
    <row r="40" spans="1:15" s="178" customFormat="1">
      <c r="A40" s="182"/>
      <c r="B40" s="181" t="s">
        <v>189</v>
      </c>
      <c r="C40" s="188">
        <v>-73700</v>
      </c>
      <c r="D40" s="180">
        <v>-66900</v>
      </c>
      <c r="E40" s="180">
        <v>-71600</v>
      </c>
      <c r="F40" s="180">
        <v>-69400</v>
      </c>
      <c r="G40" s="180">
        <v>-73900</v>
      </c>
      <c r="H40" s="180">
        <v>-73500</v>
      </c>
      <c r="I40" s="180">
        <v>-64000</v>
      </c>
      <c r="J40" s="180">
        <v>-64000</v>
      </c>
      <c r="K40" s="180">
        <v>-67000</v>
      </c>
      <c r="L40" s="180">
        <v>-78500</v>
      </c>
      <c r="M40" s="180">
        <v>-77500</v>
      </c>
      <c r="N40" s="180">
        <v>-80500</v>
      </c>
      <c r="O40" s="179">
        <f>SUM(C40:N40)</f>
        <v>-860500</v>
      </c>
    </row>
    <row r="41" spans="1:15" s="178" customFormat="1">
      <c r="A41" s="186" t="s">
        <v>193</v>
      </c>
      <c r="B41" s="187"/>
      <c r="C41" s="185">
        <f t="shared" ref="C41:N41" si="7">SUM(C39:C40)</f>
        <v>3797300</v>
      </c>
      <c r="D41" s="184">
        <f t="shared" si="7"/>
        <v>3301100</v>
      </c>
      <c r="E41" s="184">
        <f t="shared" si="7"/>
        <v>1542400</v>
      </c>
      <c r="F41" s="184">
        <f t="shared" si="7"/>
        <v>3202600</v>
      </c>
      <c r="G41" s="184">
        <f t="shared" si="7"/>
        <v>2887100</v>
      </c>
      <c r="H41" s="184">
        <f t="shared" si="7"/>
        <v>2715500</v>
      </c>
      <c r="I41" s="184">
        <f t="shared" si="7"/>
        <v>2108000</v>
      </c>
      <c r="J41" s="184">
        <f t="shared" si="7"/>
        <v>3049000</v>
      </c>
      <c r="K41" s="184">
        <f t="shared" si="7"/>
        <v>2876000</v>
      </c>
      <c r="L41" s="184">
        <f t="shared" si="7"/>
        <v>2997500</v>
      </c>
      <c r="M41" s="184">
        <f t="shared" si="7"/>
        <v>3585500</v>
      </c>
      <c r="N41" s="184">
        <f t="shared" si="7"/>
        <v>4074500</v>
      </c>
      <c r="O41" s="183">
        <f>SUM(C41:N41)</f>
        <v>36136500</v>
      </c>
    </row>
    <row r="42" spans="1:15" s="178" customFormat="1">
      <c r="A42" s="186" t="s">
        <v>194</v>
      </c>
      <c r="B42" s="186" t="s">
        <v>187</v>
      </c>
      <c r="C42" s="185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0</v>
      </c>
      <c r="N42" s="184">
        <v>0</v>
      </c>
      <c r="O42" s="183"/>
    </row>
    <row r="43" spans="1:15" s="178" customFormat="1">
      <c r="A43" s="182"/>
      <c r="B43" s="181" t="s">
        <v>188</v>
      </c>
      <c r="C43" s="188">
        <v>13534000</v>
      </c>
      <c r="D43" s="180">
        <v>16530000</v>
      </c>
      <c r="E43" s="180">
        <v>19828000</v>
      </c>
      <c r="F43" s="180">
        <v>17119000</v>
      </c>
      <c r="G43" s="180">
        <v>24589000</v>
      </c>
      <c r="H43" s="180">
        <v>23021000</v>
      </c>
      <c r="I43" s="180">
        <v>14651000</v>
      </c>
      <c r="J43" s="180">
        <v>360000</v>
      </c>
      <c r="K43" s="180">
        <v>1445000</v>
      </c>
      <c r="L43" s="180">
        <v>13532000</v>
      </c>
      <c r="M43" s="180">
        <v>18417000</v>
      </c>
      <c r="N43" s="180">
        <v>19021000</v>
      </c>
      <c r="O43" s="179">
        <f>SUM(C43:N43)</f>
        <v>182047000</v>
      </c>
    </row>
    <row r="44" spans="1:15" s="178" customFormat="1">
      <c r="A44" s="182"/>
      <c r="B44" s="181" t="s">
        <v>189</v>
      </c>
      <c r="C44" s="188">
        <v>-78400</v>
      </c>
      <c r="D44" s="180">
        <v>-80000</v>
      </c>
      <c r="E44" s="180">
        <v>-90290</v>
      </c>
      <c r="F44" s="180">
        <v>-84710</v>
      </c>
      <c r="G44" s="180">
        <v>-76100</v>
      </c>
      <c r="H44" s="180">
        <v>-54500</v>
      </c>
      <c r="I44" s="180">
        <v>-65000</v>
      </c>
      <c r="J44" s="180">
        <v>-34000</v>
      </c>
      <c r="K44" s="180">
        <v>-30000</v>
      </c>
      <c r="L44" s="180">
        <v>-48950</v>
      </c>
      <c r="M44" s="180">
        <v>-52050</v>
      </c>
      <c r="N44" s="180">
        <v>-77900</v>
      </c>
      <c r="O44" s="179">
        <f>SUM(C44:N44)</f>
        <v>-771900</v>
      </c>
    </row>
    <row r="45" spans="1:15" s="178" customFormat="1">
      <c r="A45" s="186" t="s">
        <v>195</v>
      </c>
      <c r="B45" s="187"/>
      <c r="C45" s="185">
        <f t="shared" ref="C45:N45" si="8">SUM(C43:C44)</f>
        <v>13455600</v>
      </c>
      <c r="D45" s="184">
        <f t="shared" si="8"/>
        <v>16450000</v>
      </c>
      <c r="E45" s="184">
        <f t="shared" si="8"/>
        <v>19737710</v>
      </c>
      <c r="F45" s="184">
        <f t="shared" si="8"/>
        <v>17034290</v>
      </c>
      <c r="G45" s="184">
        <f t="shared" si="8"/>
        <v>24512900</v>
      </c>
      <c r="H45" s="184">
        <f t="shared" si="8"/>
        <v>22966500</v>
      </c>
      <c r="I45" s="184">
        <f t="shared" si="8"/>
        <v>14586000</v>
      </c>
      <c r="J45" s="184">
        <f t="shared" si="8"/>
        <v>326000</v>
      </c>
      <c r="K45" s="184">
        <f t="shared" si="8"/>
        <v>1415000</v>
      </c>
      <c r="L45" s="184">
        <f t="shared" si="8"/>
        <v>13483050</v>
      </c>
      <c r="M45" s="184">
        <f t="shared" si="8"/>
        <v>18364950</v>
      </c>
      <c r="N45" s="184">
        <f t="shared" si="8"/>
        <v>18943100</v>
      </c>
      <c r="O45" s="183">
        <f>SUM(C45:N45)</f>
        <v>181275100</v>
      </c>
    </row>
    <row r="46" spans="1:15" s="178" customFormat="1">
      <c r="A46" s="186" t="s">
        <v>196</v>
      </c>
      <c r="B46" s="186" t="s">
        <v>187</v>
      </c>
      <c r="C46" s="185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3"/>
    </row>
    <row r="47" spans="1:15" s="178" customFormat="1">
      <c r="A47" s="182"/>
      <c r="B47" s="181" t="s">
        <v>188</v>
      </c>
      <c r="C47" s="188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79"/>
    </row>
    <row r="48" spans="1:15" s="178" customFormat="1">
      <c r="A48" s="186" t="s">
        <v>197</v>
      </c>
      <c r="B48" s="187"/>
      <c r="C48" s="185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3"/>
    </row>
    <row r="49" spans="1:15" s="178" customFormat="1">
      <c r="A49" s="186" t="s">
        <v>94</v>
      </c>
      <c r="B49" s="186" t="s">
        <v>187</v>
      </c>
      <c r="C49" s="185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3"/>
    </row>
    <row r="50" spans="1:15" s="178" customFormat="1">
      <c r="A50" s="182"/>
      <c r="B50" s="181" t="s">
        <v>188</v>
      </c>
      <c r="C50" s="188">
        <v>30963100</v>
      </c>
      <c r="D50" s="180">
        <v>15541100</v>
      </c>
      <c r="E50" s="180">
        <v>12763800</v>
      </c>
      <c r="F50" s="180">
        <v>13172700</v>
      </c>
      <c r="G50" s="180">
        <v>22385100</v>
      </c>
      <c r="H50" s="180">
        <v>54935500</v>
      </c>
      <c r="I50" s="180">
        <v>40865900</v>
      </c>
      <c r="J50" s="180">
        <v>17826000</v>
      </c>
      <c r="K50" s="180">
        <v>33670900</v>
      </c>
      <c r="L50" s="180">
        <v>49698400</v>
      </c>
      <c r="M50" s="180">
        <v>40287400</v>
      </c>
      <c r="N50" s="180">
        <v>24261000</v>
      </c>
      <c r="O50" s="179">
        <f>SUM(C50:N50)</f>
        <v>356370900</v>
      </c>
    </row>
    <row r="51" spans="1:15" s="178" customFormat="1">
      <c r="A51" s="182"/>
      <c r="B51" s="181" t="s">
        <v>189</v>
      </c>
      <c r="C51" s="188">
        <v>-46600</v>
      </c>
      <c r="D51" s="180">
        <v>-44000</v>
      </c>
      <c r="E51" s="180">
        <v>-53900</v>
      </c>
      <c r="F51" s="180">
        <v>-44200</v>
      </c>
      <c r="G51" s="180">
        <v>-28400</v>
      </c>
      <c r="H51" s="180">
        <v>-30600</v>
      </c>
      <c r="I51" s="180">
        <v>-29900</v>
      </c>
      <c r="J51" s="180">
        <v>-23700</v>
      </c>
      <c r="K51" s="180">
        <v>-24000</v>
      </c>
      <c r="L51" s="180">
        <v>-28400</v>
      </c>
      <c r="M51" s="180">
        <v>-27000</v>
      </c>
      <c r="N51" s="180">
        <v>-41100</v>
      </c>
      <c r="O51" s="179">
        <f>SUM(C51:N51)</f>
        <v>-421800</v>
      </c>
    </row>
    <row r="52" spans="1:15" s="178" customFormat="1">
      <c r="A52" s="186" t="s">
        <v>198</v>
      </c>
      <c r="B52" s="187"/>
      <c r="C52" s="185">
        <f t="shared" ref="C52:N52" si="9">SUM(C50:C51)</f>
        <v>30916500</v>
      </c>
      <c r="D52" s="184">
        <f t="shared" si="9"/>
        <v>15497100</v>
      </c>
      <c r="E52" s="184">
        <f t="shared" si="9"/>
        <v>12709900</v>
      </c>
      <c r="F52" s="184">
        <f t="shared" si="9"/>
        <v>13128500</v>
      </c>
      <c r="G52" s="184">
        <f t="shared" si="9"/>
        <v>22356700</v>
      </c>
      <c r="H52" s="184">
        <f t="shared" si="9"/>
        <v>54904900</v>
      </c>
      <c r="I52" s="184">
        <f t="shared" si="9"/>
        <v>40836000</v>
      </c>
      <c r="J52" s="184">
        <f t="shared" si="9"/>
        <v>17802300</v>
      </c>
      <c r="K52" s="184">
        <f t="shared" si="9"/>
        <v>33646900</v>
      </c>
      <c r="L52" s="184">
        <f t="shared" si="9"/>
        <v>49670000</v>
      </c>
      <c r="M52" s="184">
        <f t="shared" si="9"/>
        <v>40260400</v>
      </c>
      <c r="N52" s="184">
        <f t="shared" si="9"/>
        <v>24219900</v>
      </c>
      <c r="O52" s="183">
        <f>SUM(C52:N52)</f>
        <v>355949100</v>
      </c>
    </row>
    <row r="53" spans="1:15" s="178" customFormat="1">
      <c r="A53" s="775" t="s">
        <v>163</v>
      </c>
      <c r="B53" s="776"/>
      <c r="C53" s="777">
        <f t="shared" ref="C53:N53" si="10">SUM(C52+C45+C41+C37)</f>
        <v>86040700</v>
      </c>
      <c r="D53" s="778">
        <f t="shared" si="10"/>
        <v>59964800</v>
      </c>
      <c r="E53" s="778">
        <f t="shared" si="10"/>
        <v>49413610</v>
      </c>
      <c r="F53" s="778">
        <f t="shared" si="10"/>
        <v>48674290</v>
      </c>
      <c r="G53" s="778">
        <f t="shared" si="10"/>
        <v>65236500</v>
      </c>
      <c r="H53" s="778">
        <f t="shared" si="10"/>
        <v>130028000</v>
      </c>
      <c r="I53" s="778">
        <f t="shared" si="10"/>
        <v>97355900</v>
      </c>
      <c r="J53" s="778">
        <f t="shared" si="10"/>
        <v>42790300</v>
      </c>
      <c r="K53" s="778">
        <f t="shared" si="10"/>
        <v>58898300</v>
      </c>
      <c r="L53" s="778">
        <f t="shared" si="10"/>
        <v>115209450</v>
      </c>
      <c r="M53" s="778">
        <f t="shared" si="10"/>
        <v>109374950</v>
      </c>
      <c r="N53" s="778">
        <f t="shared" si="10"/>
        <v>74685500</v>
      </c>
      <c r="O53" s="779">
        <f>SUM(C53:N53)</f>
        <v>937672300</v>
      </c>
    </row>
    <row r="55" spans="1:15">
      <c r="B55" s="789" t="s">
        <v>92</v>
      </c>
      <c r="C55" s="781">
        <f t="shared" ref="C55:O55" si="11">(C41+C45)/1000</f>
        <v>17252.900000000001</v>
      </c>
      <c r="D55" s="781">
        <f t="shared" si="11"/>
        <v>19751.099999999999</v>
      </c>
      <c r="E55" s="781">
        <f t="shared" si="11"/>
        <v>21280.11</v>
      </c>
      <c r="F55" s="781">
        <f t="shared" si="11"/>
        <v>20236.89</v>
      </c>
      <c r="G55" s="781">
        <f t="shared" si="11"/>
        <v>27400</v>
      </c>
      <c r="H55" s="781">
        <f t="shared" si="11"/>
        <v>25682</v>
      </c>
      <c r="I55" s="781">
        <f t="shared" si="11"/>
        <v>16694</v>
      </c>
      <c r="J55" s="781">
        <f t="shared" si="11"/>
        <v>3375</v>
      </c>
      <c r="K55" s="781">
        <f t="shared" si="11"/>
        <v>4291</v>
      </c>
      <c r="L55" s="781">
        <f t="shared" si="11"/>
        <v>16480.55</v>
      </c>
      <c r="M55" s="781">
        <f t="shared" si="11"/>
        <v>21950.45</v>
      </c>
      <c r="N55" s="781">
        <f t="shared" si="11"/>
        <v>23017.599999999999</v>
      </c>
      <c r="O55" s="782">
        <f t="shared" si="11"/>
        <v>217411.6</v>
      </c>
    </row>
    <row r="56" spans="1:15">
      <c r="B56" s="790" t="s">
        <v>93</v>
      </c>
      <c r="C56" s="791">
        <f t="shared" ref="C56:O56" si="12">C37/1000</f>
        <v>37871.300000000003</v>
      </c>
      <c r="D56" s="791">
        <f t="shared" si="12"/>
        <v>24716.6</v>
      </c>
      <c r="E56" s="791">
        <f t="shared" si="12"/>
        <v>15423.6</v>
      </c>
      <c r="F56" s="791">
        <f t="shared" si="12"/>
        <v>15308.9</v>
      </c>
      <c r="G56" s="791">
        <f t="shared" si="12"/>
        <v>15479.8</v>
      </c>
      <c r="H56" s="791">
        <f t="shared" si="12"/>
        <v>49441.1</v>
      </c>
      <c r="I56" s="791">
        <f t="shared" si="12"/>
        <v>39825.9</v>
      </c>
      <c r="J56" s="791">
        <f t="shared" si="12"/>
        <v>21613</v>
      </c>
      <c r="K56" s="791">
        <f t="shared" si="12"/>
        <v>20960.400000000001</v>
      </c>
      <c r="L56" s="791">
        <f t="shared" si="12"/>
        <v>49058.9</v>
      </c>
      <c r="M56" s="791">
        <f t="shared" si="12"/>
        <v>47164.1</v>
      </c>
      <c r="N56" s="791">
        <f t="shared" si="12"/>
        <v>27448</v>
      </c>
      <c r="O56" s="792">
        <f t="shared" si="12"/>
        <v>364311.6</v>
      </c>
    </row>
    <row r="57" spans="1:15">
      <c r="B57" s="793" t="s">
        <v>94</v>
      </c>
      <c r="C57" s="794">
        <f t="shared" ref="C57:O57" si="13">C52/1000</f>
        <v>30916.5</v>
      </c>
      <c r="D57" s="794">
        <f t="shared" si="13"/>
        <v>15497.1</v>
      </c>
      <c r="E57" s="794">
        <f t="shared" si="13"/>
        <v>12709.9</v>
      </c>
      <c r="F57" s="794">
        <f t="shared" si="13"/>
        <v>13128.5</v>
      </c>
      <c r="G57" s="794">
        <f t="shared" si="13"/>
        <v>22356.7</v>
      </c>
      <c r="H57" s="794">
        <f t="shared" si="13"/>
        <v>54904.9</v>
      </c>
      <c r="I57" s="794">
        <f t="shared" si="13"/>
        <v>40836</v>
      </c>
      <c r="J57" s="794">
        <f t="shared" si="13"/>
        <v>17802.3</v>
      </c>
      <c r="K57" s="794">
        <f t="shared" si="13"/>
        <v>33646.9</v>
      </c>
      <c r="L57" s="794">
        <f t="shared" si="13"/>
        <v>49670</v>
      </c>
      <c r="M57" s="794">
        <f t="shared" si="13"/>
        <v>40260.400000000001</v>
      </c>
      <c r="N57" s="794">
        <f t="shared" si="13"/>
        <v>24219.9</v>
      </c>
      <c r="O57" s="795">
        <f t="shared" si="13"/>
        <v>355949.1</v>
      </c>
    </row>
    <row r="60" spans="1:15">
      <c r="A60" s="770" t="s">
        <v>68</v>
      </c>
    </row>
    <row r="61" spans="1:15">
      <c r="A61" s="186" t="s">
        <v>147</v>
      </c>
      <c r="B61" s="187"/>
      <c r="C61" s="186" t="s">
        <v>148</v>
      </c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771"/>
    </row>
    <row r="62" spans="1:15">
      <c r="A62" s="186" t="s">
        <v>149</v>
      </c>
      <c r="B62" s="186" t="s">
        <v>150</v>
      </c>
      <c r="C62" s="772">
        <f t="shared" ref="C62:N62" si="14">C4</f>
        <v>44197</v>
      </c>
      <c r="D62" s="773">
        <f t="shared" si="14"/>
        <v>44228</v>
      </c>
      <c r="E62" s="773">
        <f t="shared" si="14"/>
        <v>44256</v>
      </c>
      <c r="F62" s="773">
        <f t="shared" si="14"/>
        <v>44287</v>
      </c>
      <c r="G62" s="773">
        <f t="shared" si="14"/>
        <v>44317</v>
      </c>
      <c r="H62" s="773">
        <f t="shared" si="14"/>
        <v>44348</v>
      </c>
      <c r="I62" s="773">
        <f t="shared" si="14"/>
        <v>44013</v>
      </c>
      <c r="J62" s="773">
        <f t="shared" si="14"/>
        <v>44044</v>
      </c>
      <c r="K62" s="773">
        <f t="shared" si="14"/>
        <v>44075</v>
      </c>
      <c r="L62" s="773">
        <f t="shared" si="14"/>
        <v>44105</v>
      </c>
      <c r="M62" s="773">
        <f t="shared" si="14"/>
        <v>44136</v>
      </c>
      <c r="N62" s="773">
        <f t="shared" si="14"/>
        <v>44166</v>
      </c>
      <c r="O62" s="774" t="s">
        <v>163</v>
      </c>
    </row>
    <row r="63" spans="1:15">
      <c r="A63" s="186" t="s">
        <v>199</v>
      </c>
      <c r="B63" s="186" t="s">
        <v>200</v>
      </c>
      <c r="C63" s="185"/>
      <c r="D63" s="184"/>
      <c r="E63" s="184"/>
      <c r="F63" s="184"/>
      <c r="G63" s="184"/>
      <c r="H63" s="184">
        <v>0</v>
      </c>
      <c r="I63" s="184"/>
      <c r="J63" s="184"/>
      <c r="K63" s="184"/>
      <c r="L63" s="184"/>
      <c r="M63" s="184"/>
      <c r="N63" s="184"/>
      <c r="O63" s="183"/>
    </row>
    <row r="64" spans="1:15">
      <c r="A64" s="182"/>
      <c r="B64" s="181" t="s">
        <v>201</v>
      </c>
      <c r="C64" s="188"/>
      <c r="D64" s="180"/>
      <c r="E64" s="180"/>
      <c r="F64" s="180"/>
      <c r="G64" s="180"/>
      <c r="H64" s="180">
        <v>0</v>
      </c>
      <c r="I64" s="180"/>
      <c r="J64" s="180"/>
      <c r="K64" s="180"/>
      <c r="L64" s="180"/>
      <c r="M64" s="180"/>
      <c r="N64" s="180"/>
      <c r="O64" s="179"/>
    </row>
    <row r="65" spans="1:15">
      <c r="A65" s="182"/>
      <c r="B65" s="181" t="s">
        <v>202</v>
      </c>
      <c r="C65" s="188">
        <v>28421424</v>
      </c>
      <c r="D65" s="180">
        <v>49592788</v>
      </c>
      <c r="E65" s="180">
        <v>40675760</v>
      </c>
      <c r="F65" s="180">
        <v>36834640</v>
      </c>
      <c r="G65" s="180">
        <v>31471360</v>
      </c>
      <c r="H65" s="180">
        <v>30240864</v>
      </c>
      <c r="I65" s="180">
        <v>34863424</v>
      </c>
      <c r="J65" s="180">
        <v>30907392</v>
      </c>
      <c r="K65" s="180">
        <v>26405440</v>
      </c>
      <c r="L65" s="180">
        <v>42140288</v>
      </c>
      <c r="M65" s="180">
        <v>41865280</v>
      </c>
      <c r="N65" s="180">
        <v>28895500</v>
      </c>
      <c r="O65" s="179">
        <f>SUM(C65:N65)</f>
        <v>422314160</v>
      </c>
    </row>
    <row r="66" spans="1:15">
      <c r="A66" s="186" t="s">
        <v>203</v>
      </c>
      <c r="B66" s="187"/>
      <c r="C66" s="185">
        <f t="shared" ref="C66:N66" si="15">SUM(C64:C65)</f>
        <v>28421424</v>
      </c>
      <c r="D66" s="184">
        <f t="shared" si="15"/>
        <v>49592788</v>
      </c>
      <c r="E66" s="184">
        <f t="shared" si="15"/>
        <v>40675760</v>
      </c>
      <c r="F66" s="184">
        <f t="shared" si="15"/>
        <v>36834640</v>
      </c>
      <c r="G66" s="184">
        <f t="shared" si="15"/>
        <v>31471360</v>
      </c>
      <c r="H66" s="184">
        <f t="shared" si="15"/>
        <v>30240864</v>
      </c>
      <c r="I66" s="184">
        <f t="shared" si="15"/>
        <v>34863424</v>
      </c>
      <c r="J66" s="184">
        <f t="shared" si="15"/>
        <v>30907392</v>
      </c>
      <c r="K66" s="184">
        <f t="shared" si="15"/>
        <v>26405440</v>
      </c>
      <c r="L66" s="184">
        <f t="shared" si="15"/>
        <v>42140288</v>
      </c>
      <c r="M66" s="184">
        <f t="shared" si="15"/>
        <v>41865280</v>
      </c>
      <c r="N66" s="184">
        <f t="shared" si="15"/>
        <v>28895500</v>
      </c>
      <c r="O66" s="183">
        <f>SUM(C66:N66)</f>
        <v>422314160</v>
      </c>
    </row>
    <row r="67" spans="1:15">
      <c r="A67" s="186" t="s">
        <v>127</v>
      </c>
      <c r="B67" s="186" t="s">
        <v>200</v>
      </c>
      <c r="C67" s="185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3"/>
    </row>
    <row r="68" spans="1:15">
      <c r="A68" s="182"/>
      <c r="B68" s="181" t="s">
        <v>201</v>
      </c>
      <c r="C68" s="188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79"/>
    </row>
    <row r="69" spans="1:15">
      <c r="A69" s="182"/>
      <c r="B69" s="181" t="s">
        <v>202</v>
      </c>
      <c r="C69" s="188">
        <v>49051600</v>
      </c>
      <c r="D69" s="180">
        <v>103857650</v>
      </c>
      <c r="E69" s="180">
        <v>81160550</v>
      </c>
      <c r="F69" s="180">
        <v>91091400</v>
      </c>
      <c r="G69" s="180">
        <v>84938500</v>
      </c>
      <c r="H69" s="180">
        <v>74428400</v>
      </c>
      <c r="I69" s="180">
        <v>77436850</v>
      </c>
      <c r="J69" s="180">
        <v>65590300</v>
      </c>
      <c r="K69" s="180">
        <v>54111900</v>
      </c>
      <c r="L69" s="180">
        <v>87594100</v>
      </c>
      <c r="M69" s="180">
        <v>59842450</v>
      </c>
      <c r="N69" s="180">
        <v>51621850</v>
      </c>
      <c r="O69" s="179">
        <f>SUM(C69:N69)</f>
        <v>880725550</v>
      </c>
    </row>
    <row r="70" spans="1:15">
      <c r="A70" s="186" t="s">
        <v>204</v>
      </c>
      <c r="B70" s="187"/>
      <c r="C70" s="185">
        <f t="shared" ref="C70:N70" si="16">SUM(C68:C69)</f>
        <v>49051600</v>
      </c>
      <c r="D70" s="184">
        <f t="shared" si="16"/>
        <v>103857650</v>
      </c>
      <c r="E70" s="184">
        <f t="shared" si="16"/>
        <v>81160550</v>
      </c>
      <c r="F70" s="184">
        <f t="shared" si="16"/>
        <v>91091400</v>
      </c>
      <c r="G70" s="184">
        <f t="shared" si="16"/>
        <v>84938500</v>
      </c>
      <c r="H70" s="184">
        <f t="shared" si="16"/>
        <v>74428400</v>
      </c>
      <c r="I70" s="184">
        <f t="shared" si="16"/>
        <v>77436850</v>
      </c>
      <c r="J70" s="184">
        <f t="shared" si="16"/>
        <v>65590300</v>
      </c>
      <c r="K70" s="184">
        <f t="shared" si="16"/>
        <v>54111900</v>
      </c>
      <c r="L70" s="184">
        <f t="shared" si="16"/>
        <v>87594100</v>
      </c>
      <c r="M70" s="184">
        <f t="shared" si="16"/>
        <v>59842450</v>
      </c>
      <c r="N70" s="184">
        <f t="shared" si="16"/>
        <v>51621850</v>
      </c>
      <c r="O70" s="183">
        <f>SUM(C70:N70)</f>
        <v>880725550</v>
      </c>
    </row>
    <row r="71" spans="1:15">
      <c r="A71" s="186" t="s">
        <v>205</v>
      </c>
      <c r="B71" s="186" t="s">
        <v>200</v>
      </c>
      <c r="C71" s="185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3"/>
    </row>
    <row r="72" spans="1:15">
      <c r="A72" s="182"/>
      <c r="B72" s="181" t="s">
        <v>201</v>
      </c>
      <c r="C72" s="188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79"/>
    </row>
    <row r="73" spans="1:15">
      <c r="A73" s="186" t="s">
        <v>206</v>
      </c>
      <c r="B73" s="187"/>
      <c r="C73" s="185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3"/>
    </row>
    <row r="74" spans="1:15">
      <c r="A74" s="186" t="s">
        <v>207</v>
      </c>
      <c r="B74" s="186" t="s">
        <v>200</v>
      </c>
      <c r="C74" s="185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3"/>
    </row>
    <row r="75" spans="1:15">
      <c r="A75" s="182"/>
      <c r="B75" s="181" t="s">
        <v>201</v>
      </c>
      <c r="C75" s="188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79"/>
    </row>
    <row r="76" spans="1:15">
      <c r="A76" s="182"/>
      <c r="B76" s="181" t="s">
        <v>202</v>
      </c>
      <c r="C76" s="188">
        <v>35081750</v>
      </c>
      <c r="D76" s="180">
        <v>78376410</v>
      </c>
      <c r="E76" s="180">
        <v>55874592</v>
      </c>
      <c r="F76" s="180">
        <v>74119764</v>
      </c>
      <c r="G76" s="180">
        <v>67513660</v>
      </c>
      <c r="H76" s="180">
        <v>57721904</v>
      </c>
      <c r="I76" s="180">
        <v>65693392</v>
      </c>
      <c r="J76" s="180">
        <v>58850096</v>
      </c>
      <c r="K76" s="180">
        <v>38759616</v>
      </c>
      <c r="L76" s="180">
        <v>75924497</v>
      </c>
      <c r="M76" s="180">
        <v>67032757</v>
      </c>
      <c r="N76" s="180">
        <v>43503706</v>
      </c>
      <c r="O76" s="179">
        <f>SUM(C76:N76)</f>
        <v>718452144</v>
      </c>
    </row>
    <row r="77" spans="1:15">
      <c r="A77" s="182"/>
      <c r="B77" s="181" t="s">
        <v>208</v>
      </c>
      <c r="C77" s="188">
        <v>-280235</v>
      </c>
      <c r="D77" s="180">
        <v>-108106</v>
      </c>
      <c r="E77" s="180">
        <v>-222563</v>
      </c>
      <c r="F77" s="180">
        <v>-149451</v>
      </c>
      <c r="G77" s="180">
        <v>-174184</v>
      </c>
      <c r="H77" s="180">
        <v>-162501</v>
      </c>
      <c r="I77" s="180">
        <v>-193409</v>
      </c>
      <c r="J77" s="180">
        <v>-237957</v>
      </c>
      <c r="K77" s="180">
        <v>-366888</v>
      </c>
      <c r="L77" s="180">
        <v>-203337</v>
      </c>
      <c r="M77" s="180">
        <v>-168255</v>
      </c>
      <c r="N77" s="180">
        <v>-255229</v>
      </c>
      <c r="O77" s="179">
        <f>SUM(C77:N77)</f>
        <v>-2522115</v>
      </c>
    </row>
    <row r="78" spans="1:15">
      <c r="A78" s="186" t="s">
        <v>209</v>
      </c>
      <c r="B78" s="187"/>
      <c r="C78" s="185">
        <f t="shared" ref="C78:N78" si="17">SUM(C76:C77)</f>
        <v>34801515</v>
      </c>
      <c r="D78" s="184">
        <f t="shared" si="17"/>
        <v>78268304</v>
      </c>
      <c r="E78" s="184">
        <f t="shared" si="17"/>
        <v>55652029</v>
      </c>
      <c r="F78" s="184">
        <f t="shared" si="17"/>
        <v>73970313</v>
      </c>
      <c r="G78" s="184">
        <f t="shared" si="17"/>
        <v>67339476</v>
      </c>
      <c r="H78" s="184">
        <f t="shared" si="17"/>
        <v>57559403</v>
      </c>
      <c r="I78" s="184">
        <f t="shared" si="17"/>
        <v>65499983</v>
      </c>
      <c r="J78" s="184">
        <f t="shared" si="17"/>
        <v>58612139</v>
      </c>
      <c r="K78" s="184">
        <f t="shared" si="17"/>
        <v>38392728</v>
      </c>
      <c r="L78" s="184">
        <f t="shared" si="17"/>
        <v>75721160</v>
      </c>
      <c r="M78" s="184">
        <f t="shared" si="17"/>
        <v>66864502</v>
      </c>
      <c r="N78" s="184">
        <f t="shared" si="17"/>
        <v>43248477</v>
      </c>
      <c r="O78" s="183">
        <f>SUM(C78:N78)</f>
        <v>715930029</v>
      </c>
    </row>
    <row r="79" spans="1:15">
      <c r="A79" s="775" t="s">
        <v>163</v>
      </c>
      <c r="B79" s="776"/>
      <c r="C79" s="777">
        <f t="shared" ref="C79:N79" si="18">C78+C70+C66</f>
        <v>112274539</v>
      </c>
      <c r="D79" s="778">
        <f t="shared" si="18"/>
        <v>231718742</v>
      </c>
      <c r="E79" s="778">
        <f t="shared" si="18"/>
        <v>177488339</v>
      </c>
      <c r="F79" s="778">
        <f t="shared" si="18"/>
        <v>201896353</v>
      </c>
      <c r="G79" s="778">
        <f t="shared" si="18"/>
        <v>183749336</v>
      </c>
      <c r="H79" s="778">
        <f t="shared" si="18"/>
        <v>162228667</v>
      </c>
      <c r="I79" s="778">
        <f t="shared" si="18"/>
        <v>177800257</v>
      </c>
      <c r="J79" s="778">
        <f t="shared" si="18"/>
        <v>155109831</v>
      </c>
      <c r="K79" s="778">
        <f t="shared" si="18"/>
        <v>118910068</v>
      </c>
      <c r="L79" s="778">
        <f t="shared" si="18"/>
        <v>205455548</v>
      </c>
      <c r="M79" s="778">
        <f t="shared" si="18"/>
        <v>168572232</v>
      </c>
      <c r="N79" s="778">
        <f t="shared" si="18"/>
        <v>123765827</v>
      </c>
      <c r="O79" s="779">
        <f>SUM(C79:N79)</f>
        <v>2018969739</v>
      </c>
    </row>
    <row r="81" spans="1:15">
      <c r="B81" s="796" t="s">
        <v>126</v>
      </c>
      <c r="C81" s="781">
        <f t="shared" ref="C81:O81" si="19">C66/1000</f>
        <v>28421.423999999999</v>
      </c>
      <c r="D81" s="781">
        <f t="shared" si="19"/>
        <v>49592.788</v>
      </c>
      <c r="E81" s="781">
        <f t="shared" si="19"/>
        <v>40675.760000000002</v>
      </c>
      <c r="F81" s="781">
        <f t="shared" si="19"/>
        <v>36834.639999999999</v>
      </c>
      <c r="G81" s="781">
        <f t="shared" si="19"/>
        <v>31471.360000000001</v>
      </c>
      <c r="H81" s="781">
        <f t="shared" si="19"/>
        <v>30240.864000000001</v>
      </c>
      <c r="I81" s="781">
        <f t="shared" si="19"/>
        <v>34863.423999999999</v>
      </c>
      <c r="J81" s="781">
        <f t="shared" si="19"/>
        <v>30907.392</v>
      </c>
      <c r="K81" s="781">
        <f t="shared" si="19"/>
        <v>26405.439999999999</v>
      </c>
      <c r="L81" s="781">
        <f t="shared" si="19"/>
        <v>42140.288</v>
      </c>
      <c r="M81" s="781">
        <f t="shared" si="19"/>
        <v>41865.279999999999</v>
      </c>
      <c r="N81" s="781">
        <f t="shared" si="19"/>
        <v>28895.5</v>
      </c>
      <c r="O81" s="782">
        <f t="shared" si="19"/>
        <v>422314.16</v>
      </c>
    </row>
    <row r="82" spans="1:15">
      <c r="B82" s="797" t="s">
        <v>127</v>
      </c>
      <c r="C82" s="791">
        <f t="shared" ref="C82:O82" si="20">C70/1000</f>
        <v>49051.6</v>
      </c>
      <c r="D82" s="791">
        <f t="shared" si="20"/>
        <v>103857.65</v>
      </c>
      <c r="E82" s="791">
        <f t="shared" si="20"/>
        <v>81160.55</v>
      </c>
      <c r="F82" s="791">
        <f t="shared" si="20"/>
        <v>91091.4</v>
      </c>
      <c r="G82" s="791">
        <f t="shared" si="20"/>
        <v>84938.5</v>
      </c>
      <c r="H82" s="791">
        <f t="shared" si="20"/>
        <v>74428.399999999994</v>
      </c>
      <c r="I82" s="791">
        <f t="shared" si="20"/>
        <v>77436.850000000006</v>
      </c>
      <c r="J82" s="791">
        <f t="shared" si="20"/>
        <v>65590.3</v>
      </c>
      <c r="K82" s="791">
        <f t="shared" si="20"/>
        <v>54111.9</v>
      </c>
      <c r="L82" s="791">
        <f t="shared" si="20"/>
        <v>87594.1</v>
      </c>
      <c r="M82" s="791">
        <f t="shared" si="20"/>
        <v>59842.45</v>
      </c>
      <c r="N82" s="791">
        <f t="shared" si="20"/>
        <v>51621.85</v>
      </c>
      <c r="O82" s="792">
        <f t="shared" si="20"/>
        <v>880725.55</v>
      </c>
    </row>
    <row r="83" spans="1:15">
      <c r="B83" s="798" t="s">
        <v>128</v>
      </c>
      <c r="C83" s="791">
        <f t="shared" ref="C83:O83" si="21">C78/1000</f>
        <v>34801.514999999999</v>
      </c>
      <c r="D83" s="791">
        <f t="shared" si="21"/>
        <v>78268.304000000004</v>
      </c>
      <c r="E83" s="791">
        <f t="shared" si="21"/>
        <v>55652.029000000002</v>
      </c>
      <c r="F83" s="791">
        <f t="shared" si="21"/>
        <v>73970.312999999995</v>
      </c>
      <c r="G83" s="791">
        <f t="shared" si="21"/>
        <v>67339.475999999995</v>
      </c>
      <c r="H83" s="791">
        <f t="shared" si="21"/>
        <v>57559.402999999998</v>
      </c>
      <c r="I83" s="791">
        <f t="shared" si="21"/>
        <v>65499.983</v>
      </c>
      <c r="J83" s="791">
        <f t="shared" si="21"/>
        <v>58612.139000000003</v>
      </c>
      <c r="K83" s="791">
        <f t="shared" si="21"/>
        <v>38392.728000000003</v>
      </c>
      <c r="L83" s="791">
        <f t="shared" si="21"/>
        <v>75721.16</v>
      </c>
      <c r="M83" s="791">
        <f t="shared" si="21"/>
        <v>66864.501999999993</v>
      </c>
      <c r="N83" s="791">
        <f t="shared" si="21"/>
        <v>43248.476999999999</v>
      </c>
      <c r="O83" s="792">
        <f t="shared" si="21"/>
        <v>715930.02899999998</v>
      </c>
    </row>
    <row r="84" spans="1:15">
      <c r="B84" s="799" t="s">
        <v>129</v>
      </c>
      <c r="C84" s="794">
        <f t="shared" ref="C84:O84" si="22">C20/1000</f>
        <v>3939</v>
      </c>
      <c r="D84" s="794">
        <f t="shared" si="22"/>
        <v>13212</v>
      </c>
      <c r="E84" s="794">
        <f t="shared" si="22"/>
        <v>11299</v>
      </c>
      <c r="F84" s="794">
        <f t="shared" si="22"/>
        <v>14073</v>
      </c>
      <c r="G84" s="794">
        <f t="shared" si="22"/>
        <v>15592</v>
      </c>
      <c r="H84" s="794">
        <f t="shared" si="22"/>
        <v>14486</v>
      </c>
      <c r="I84" s="794">
        <f t="shared" si="22"/>
        <v>18031</v>
      </c>
      <c r="J84" s="794">
        <f t="shared" si="22"/>
        <v>16326</v>
      </c>
      <c r="K84" s="794">
        <f t="shared" si="22"/>
        <v>4556</v>
      </c>
      <c r="L84" s="794">
        <f t="shared" si="22"/>
        <v>8279</v>
      </c>
      <c r="M84" s="794">
        <f t="shared" si="22"/>
        <v>7492</v>
      </c>
      <c r="N84" s="794">
        <f t="shared" si="22"/>
        <v>5509</v>
      </c>
      <c r="O84" s="795">
        <f t="shared" si="22"/>
        <v>132794</v>
      </c>
    </row>
    <row r="85" spans="1:15">
      <c r="B85" s="800" t="s">
        <v>210</v>
      </c>
      <c r="C85" s="801">
        <f t="shared" ref="C85:O85" si="23">SUM(C81:C84)</f>
        <v>116213.539</v>
      </c>
      <c r="D85" s="801">
        <f t="shared" si="23"/>
        <v>244930.742</v>
      </c>
      <c r="E85" s="801">
        <f t="shared" si="23"/>
        <v>188787.33900000001</v>
      </c>
      <c r="F85" s="801">
        <f t="shared" si="23"/>
        <v>215969.353</v>
      </c>
      <c r="G85" s="801">
        <f t="shared" si="23"/>
        <v>199341.33600000001</v>
      </c>
      <c r="H85" s="801">
        <f t="shared" si="23"/>
        <v>176714.66699999999</v>
      </c>
      <c r="I85" s="801">
        <f t="shared" si="23"/>
        <v>195831.25700000001</v>
      </c>
      <c r="J85" s="801">
        <f t="shared" si="23"/>
        <v>171435.83100000001</v>
      </c>
      <c r="K85" s="801">
        <f t="shared" si="23"/>
        <v>123466.068</v>
      </c>
      <c r="L85" s="801">
        <f t="shared" si="23"/>
        <v>213734.54800000001</v>
      </c>
      <c r="M85" s="801">
        <f t="shared" si="23"/>
        <v>176064.23199999999</v>
      </c>
      <c r="N85" s="801">
        <f t="shared" si="23"/>
        <v>129274.827</v>
      </c>
      <c r="O85" s="802">
        <f t="shared" si="23"/>
        <v>2151763.7390000001</v>
      </c>
    </row>
    <row r="88" spans="1:15">
      <c r="A88" s="178" t="s">
        <v>211</v>
      </c>
    </row>
  </sheetData>
  <pageMargins left="0.7" right="0.7" top="0.75" bottom="0.75" header="0.3" footer="0.3"/>
  <customProperties>
    <customPr name="_pios_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B3:N50"/>
  <sheetViews>
    <sheetView workbookViewId="0">
      <selection activeCell="M26" sqref="M26"/>
    </sheetView>
  </sheetViews>
  <sheetFormatPr defaultColWidth="9.140625" defaultRowHeight="12.75"/>
  <cols>
    <col min="1" max="1" width="9.140625" style="37"/>
    <col min="2" max="2" width="9.140625" style="37" customWidth="1"/>
    <col min="3" max="3" width="11.5703125" style="37" customWidth="1"/>
    <col min="4" max="4" width="12.5703125" style="37" customWidth="1"/>
    <col min="5" max="6" width="12.140625" style="37" customWidth="1"/>
    <col min="7" max="8" width="13.42578125" style="37" bestFit="1" customWidth="1"/>
    <col min="9" max="9" width="11.5703125" style="37" customWidth="1"/>
    <col min="10" max="10" width="12.5703125" style="37" customWidth="1"/>
    <col min="11" max="11" width="12.140625" style="37" customWidth="1"/>
    <col min="12" max="14" width="13.42578125" style="37" bestFit="1" customWidth="1"/>
    <col min="15" max="16384" width="9.140625" style="37"/>
  </cols>
  <sheetData>
    <row r="3" spans="2:13" ht="15">
      <c r="B3" s="201" t="s">
        <v>497</v>
      </c>
      <c r="H3" s="201" t="s">
        <v>496</v>
      </c>
    </row>
    <row r="4" spans="2:13" ht="13.5" thickBot="1">
      <c r="B4" s="203"/>
      <c r="H4" s="203"/>
    </row>
    <row r="5" spans="2:13" ht="15.75" thickBot="1">
      <c r="C5" s="1064">
        <v>2018</v>
      </c>
      <c r="D5" s="1065"/>
      <c r="E5" s="1066"/>
      <c r="F5" s="200"/>
      <c r="I5" s="1061" t="s">
        <v>493</v>
      </c>
      <c r="J5" s="1062"/>
      <c r="K5" s="1063"/>
    </row>
    <row r="6" spans="2:13">
      <c r="C6" s="198" t="s">
        <v>94</v>
      </c>
      <c r="D6" s="198" t="s">
        <v>93</v>
      </c>
      <c r="E6" s="198" t="s">
        <v>212</v>
      </c>
      <c r="F6" s="198"/>
      <c r="I6" s="198" t="s">
        <v>94</v>
      </c>
      <c r="J6" s="198" t="s">
        <v>93</v>
      </c>
      <c r="K6" s="198" t="s">
        <v>212</v>
      </c>
      <c r="M6" s="202"/>
    </row>
    <row r="7" spans="2:13">
      <c r="B7" s="195" t="s">
        <v>213</v>
      </c>
      <c r="C7" s="192">
        <v>23231.789077668414</v>
      </c>
      <c r="D7" s="192">
        <v>27019.32408307444</v>
      </c>
      <c r="E7" s="192">
        <f t="shared" ref="E7:E18" si="0">SUM(C7:D7)</f>
        <v>50251.113160742854</v>
      </c>
      <c r="F7" s="192"/>
      <c r="H7" s="195" t="s">
        <v>213</v>
      </c>
      <c r="I7" s="192">
        <v>23231.789077668414</v>
      </c>
      <c r="J7" s="192">
        <v>27019.32408307444</v>
      </c>
      <c r="K7" s="192">
        <f t="shared" ref="K7:K18" si="1">SUM(I7:J7)</f>
        <v>50251.113160742854</v>
      </c>
    </row>
    <row r="8" spans="2:13">
      <c r="B8" s="195" t="s">
        <v>214</v>
      </c>
      <c r="C8" s="192">
        <v>18871.396366587804</v>
      </c>
      <c r="D8" s="192">
        <v>21051.978210088171</v>
      </c>
      <c r="E8" s="192">
        <f t="shared" si="0"/>
        <v>39923.374576675975</v>
      </c>
      <c r="F8" s="192"/>
      <c r="H8" s="195" t="s">
        <v>214</v>
      </c>
      <c r="I8" s="192">
        <v>18871.396366587804</v>
      </c>
      <c r="J8" s="192">
        <v>20666.15173664565</v>
      </c>
      <c r="K8" s="192">
        <f t="shared" si="1"/>
        <v>39537.54810323345</v>
      </c>
    </row>
    <row r="9" spans="2:13">
      <c r="B9" s="195" t="s">
        <v>215</v>
      </c>
      <c r="C9" s="192">
        <v>18861.751845630504</v>
      </c>
      <c r="D9" s="192">
        <v>19659.123806167216</v>
      </c>
      <c r="E9" s="192">
        <f t="shared" si="0"/>
        <v>38520.875651797716</v>
      </c>
      <c r="F9" s="192"/>
      <c r="H9" s="195" t="s">
        <v>215</v>
      </c>
      <c r="I9" s="192">
        <v>19017.863035131915</v>
      </c>
      <c r="J9" s="192">
        <v>17145.846260319169</v>
      </c>
      <c r="K9" s="192">
        <f t="shared" si="1"/>
        <v>36163.709295451088</v>
      </c>
    </row>
    <row r="10" spans="2:13">
      <c r="B10" s="195" t="s">
        <v>216</v>
      </c>
      <c r="C10" s="194">
        <v>17067.610494625238</v>
      </c>
      <c r="D10" s="194">
        <v>19905.392014589295</v>
      </c>
      <c r="E10" s="194">
        <f t="shared" si="0"/>
        <v>36973.002509214537</v>
      </c>
      <c r="F10" s="194"/>
      <c r="H10" s="195" t="s">
        <v>216</v>
      </c>
      <c r="I10" s="194">
        <v>16620.77441078793</v>
      </c>
      <c r="J10" s="194">
        <v>17112.81631687659</v>
      </c>
      <c r="K10" s="194">
        <f t="shared" si="1"/>
        <v>33733.590727664516</v>
      </c>
    </row>
    <row r="11" spans="2:13">
      <c r="B11" s="195" t="s">
        <v>155</v>
      </c>
      <c r="C11" s="194">
        <v>23913.322770792522</v>
      </c>
      <c r="D11" s="194">
        <v>24702.67739112139</v>
      </c>
      <c r="E11" s="194">
        <f t="shared" si="0"/>
        <v>48616.000161913908</v>
      </c>
      <c r="F11" s="194"/>
      <c r="H11" s="195" t="s">
        <v>155</v>
      </c>
      <c r="I11" s="194">
        <v>26207.295523043693</v>
      </c>
      <c r="J11" s="194">
        <v>31103.950889941356</v>
      </c>
      <c r="K11" s="194">
        <f t="shared" si="1"/>
        <v>57311.246412985049</v>
      </c>
    </row>
    <row r="12" spans="2:13">
      <c r="B12" s="195" t="s">
        <v>217</v>
      </c>
      <c r="C12" s="194">
        <v>36344.405611842478</v>
      </c>
      <c r="D12" s="194">
        <v>46363.55758518925</v>
      </c>
      <c r="E12" s="194">
        <f t="shared" si="0"/>
        <v>82707.963197031728</v>
      </c>
      <c r="F12" s="194"/>
      <c r="H12" s="195" t="s">
        <v>217</v>
      </c>
      <c r="I12" s="194">
        <v>37359.946340116898</v>
      </c>
      <c r="J12" s="194">
        <v>47228.223822705026</v>
      </c>
      <c r="K12" s="194">
        <f t="shared" si="1"/>
        <v>84588.170162821916</v>
      </c>
    </row>
    <row r="13" spans="2:13">
      <c r="B13" s="195" t="s">
        <v>218</v>
      </c>
      <c r="C13" s="194">
        <v>43146.921468778513</v>
      </c>
      <c r="D13" s="194">
        <v>45973.590755924793</v>
      </c>
      <c r="E13" s="194">
        <f t="shared" si="0"/>
        <v>89120.5122247033</v>
      </c>
      <c r="F13" s="194"/>
      <c r="H13" s="195" t="s">
        <v>218</v>
      </c>
      <c r="I13" s="194">
        <v>43153.038757453251</v>
      </c>
      <c r="J13" s="194">
        <v>45693.596819259765</v>
      </c>
      <c r="K13" s="194">
        <f t="shared" si="1"/>
        <v>88846.635576713015</v>
      </c>
    </row>
    <row r="14" spans="2:13">
      <c r="B14" s="195" t="s">
        <v>219</v>
      </c>
      <c r="C14" s="194">
        <v>25769.348489892785</v>
      </c>
      <c r="D14" s="194">
        <v>31274.453641056596</v>
      </c>
      <c r="E14" s="194">
        <f t="shared" si="0"/>
        <v>57043.802130949378</v>
      </c>
      <c r="F14" s="194"/>
      <c r="H14" s="195" t="s">
        <v>219</v>
      </c>
      <c r="I14" s="194">
        <v>25808.767659063022</v>
      </c>
      <c r="J14" s="194">
        <v>31333.655409786792</v>
      </c>
      <c r="K14" s="194">
        <f t="shared" si="1"/>
        <v>57142.423068849814</v>
      </c>
    </row>
    <row r="15" spans="2:13">
      <c r="B15" s="195" t="s">
        <v>220</v>
      </c>
      <c r="C15" s="194">
        <v>21885.378809919657</v>
      </c>
      <c r="D15" s="194">
        <v>22499.374431974444</v>
      </c>
      <c r="E15" s="194">
        <f t="shared" si="0"/>
        <v>44384.753241894097</v>
      </c>
      <c r="F15" s="194"/>
      <c r="H15" s="195" t="s">
        <v>220</v>
      </c>
      <c r="I15" s="194">
        <v>21920.222698013324</v>
      </c>
      <c r="J15" s="194">
        <v>22488.326013037065</v>
      </c>
      <c r="K15" s="194">
        <f t="shared" si="1"/>
        <v>44408.548711050389</v>
      </c>
    </row>
    <row r="16" spans="2:13">
      <c r="B16" s="195" t="s">
        <v>221</v>
      </c>
      <c r="C16" s="194">
        <v>34153.146874403697</v>
      </c>
      <c r="D16" s="194">
        <v>31226.733180849842</v>
      </c>
      <c r="E16" s="194">
        <f t="shared" si="0"/>
        <v>65379.880055253539</v>
      </c>
      <c r="F16" s="194"/>
      <c r="H16" s="195" t="s">
        <v>221</v>
      </c>
      <c r="I16" s="194">
        <v>34142.727012924181</v>
      </c>
      <c r="J16" s="194">
        <v>31268.436007505712</v>
      </c>
      <c r="K16" s="194">
        <f t="shared" si="1"/>
        <v>65411.163020429893</v>
      </c>
    </row>
    <row r="17" spans="2:11">
      <c r="B17" s="195" t="s">
        <v>222</v>
      </c>
      <c r="C17" s="194">
        <v>38462.26231700067</v>
      </c>
      <c r="D17" s="194">
        <v>39032.944851309599</v>
      </c>
      <c r="E17" s="194">
        <f t="shared" si="0"/>
        <v>77495.207168310269</v>
      </c>
      <c r="F17" s="194"/>
      <c r="H17" s="195" t="s">
        <v>222</v>
      </c>
      <c r="I17" s="194">
        <v>38439.858205688637</v>
      </c>
      <c r="J17" s="194">
        <v>39079.834190539805</v>
      </c>
      <c r="K17" s="194">
        <f t="shared" si="1"/>
        <v>77519.692396228435</v>
      </c>
    </row>
    <row r="18" spans="2:11">
      <c r="B18" s="197" t="s">
        <v>223</v>
      </c>
      <c r="C18" s="196">
        <v>27099.912905957422</v>
      </c>
      <c r="D18" s="196">
        <v>31763.923998382648</v>
      </c>
      <c r="E18" s="196">
        <f t="shared" si="0"/>
        <v>58863.836904340074</v>
      </c>
      <c r="F18" s="196"/>
      <c r="H18" s="197" t="s">
        <v>223</v>
      </c>
      <c r="I18" s="196">
        <v>27120.961367652239</v>
      </c>
      <c r="J18" s="196">
        <v>31673.003449630331</v>
      </c>
      <c r="K18" s="196">
        <f t="shared" si="1"/>
        <v>58793.964817282569</v>
      </c>
    </row>
    <row r="19" spans="2:11">
      <c r="B19" s="195" t="s">
        <v>224</v>
      </c>
      <c r="C19" s="194">
        <f>SUM(C7:C18)</f>
        <v>328807.24703309976</v>
      </c>
      <c r="D19" s="194">
        <f>SUM(D7:D18)</f>
        <v>360473.07394972764</v>
      </c>
      <c r="E19" s="194">
        <f>SUM(E7:E18)</f>
        <v>689280.32098282746</v>
      </c>
      <c r="F19" s="194"/>
      <c r="H19" s="195" t="s">
        <v>224</v>
      </c>
      <c r="I19" s="194">
        <f>SUM(I7:I18)</f>
        <v>331894.64045413135</v>
      </c>
      <c r="J19" s="194">
        <f>SUM(J7:J18)</f>
        <v>361813.16499932163</v>
      </c>
      <c r="K19" s="194">
        <f>SUM(K7:K18)</f>
        <v>693707.80545345298</v>
      </c>
    </row>
    <row r="20" spans="2:11">
      <c r="B20" s="193"/>
      <c r="H20" s="193"/>
    </row>
    <row r="22" spans="2:11" ht="15">
      <c r="B22" s="201" t="s">
        <v>495</v>
      </c>
      <c r="H22" s="201" t="s">
        <v>494</v>
      </c>
    </row>
    <row r="23" spans="2:11" ht="13.5" thickBot="1">
      <c r="B23" s="199"/>
      <c r="H23" s="199"/>
    </row>
    <row r="24" spans="2:11" ht="15.75" thickBot="1">
      <c r="B24" s="199"/>
      <c r="C24" s="1064">
        <v>2018</v>
      </c>
      <c r="D24" s="1065"/>
      <c r="E24" s="1066"/>
      <c r="F24" s="200"/>
      <c r="H24" s="199"/>
      <c r="I24" s="1061" t="s">
        <v>493</v>
      </c>
      <c r="J24" s="1062"/>
      <c r="K24" s="1063"/>
    </row>
    <row r="25" spans="2:11">
      <c r="C25" s="198" t="s">
        <v>225</v>
      </c>
      <c r="D25" s="198" t="s">
        <v>226</v>
      </c>
      <c r="E25" s="198" t="s">
        <v>55</v>
      </c>
      <c r="F25" s="198"/>
      <c r="I25" s="198" t="s">
        <v>225</v>
      </c>
      <c r="J25" s="198" t="s">
        <v>226</v>
      </c>
      <c r="K25" s="198" t="s">
        <v>55</v>
      </c>
    </row>
    <row r="26" spans="2:11">
      <c r="B26" s="195" t="s">
        <v>213</v>
      </c>
      <c r="C26" s="192">
        <v>5195.0570916925817</v>
      </c>
      <c r="D26" s="192">
        <v>21606.772686812408</v>
      </c>
      <c r="E26" s="194">
        <f t="shared" ref="E26:E37" si="2">SUM(C26:D26)</f>
        <v>26801.829778504991</v>
      </c>
      <c r="F26" s="194"/>
      <c r="H26" s="195" t="s">
        <v>213</v>
      </c>
      <c r="I26" s="192">
        <v>5195.0570916925817</v>
      </c>
      <c r="J26" s="192">
        <v>21606.772686812408</v>
      </c>
      <c r="K26" s="194">
        <f t="shared" ref="K26:K37" si="3">SUM(I26:J26)</f>
        <v>26801.829778504991</v>
      </c>
    </row>
    <row r="27" spans="2:11">
      <c r="B27" s="195" t="s">
        <v>214</v>
      </c>
      <c r="C27" s="192">
        <v>4502.4993631783464</v>
      </c>
      <c r="D27" s="192">
        <v>19118.721339925025</v>
      </c>
      <c r="E27" s="194">
        <f t="shared" si="2"/>
        <v>23621.220703103372</v>
      </c>
      <c r="F27" s="194"/>
      <c r="H27" s="195" t="s">
        <v>214</v>
      </c>
      <c r="I27" s="192">
        <v>4502.4993631783464</v>
      </c>
      <c r="J27" s="192">
        <v>19118.721339925025</v>
      </c>
      <c r="K27" s="194">
        <f t="shared" si="3"/>
        <v>23621.220703103372</v>
      </c>
    </row>
    <row r="28" spans="2:11">
      <c r="B28" s="195" t="s">
        <v>215</v>
      </c>
      <c r="C28" s="192">
        <v>4994.4649288303754</v>
      </c>
      <c r="D28" s="192">
        <v>22316.286493288153</v>
      </c>
      <c r="E28" s="194">
        <f t="shared" si="2"/>
        <v>27310.751422118527</v>
      </c>
      <c r="F28" s="194"/>
      <c r="H28" s="195" t="s">
        <v>215</v>
      </c>
      <c r="I28" s="192">
        <v>4994.4649288303754</v>
      </c>
      <c r="J28" s="192">
        <v>22316.286493288153</v>
      </c>
      <c r="K28" s="194">
        <f t="shared" si="3"/>
        <v>27310.751422118527</v>
      </c>
    </row>
    <row r="29" spans="2:11">
      <c r="B29" s="195" t="s">
        <v>216</v>
      </c>
      <c r="C29" s="194">
        <v>3449.8310927200646</v>
      </c>
      <c r="D29" s="194">
        <v>24983.046175088592</v>
      </c>
      <c r="E29" s="194">
        <f t="shared" si="2"/>
        <v>28432.877267808657</v>
      </c>
      <c r="F29" s="194"/>
      <c r="H29" s="195" t="s">
        <v>216</v>
      </c>
      <c r="I29" s="194">
        <v>3621.9378169083666</v>
      </c>
      <c r="J29" s="194">
        <v>24983.046175088592</v>
      </c>
      <c r="K29" s="194">
        <f t="shared" si="3"/>
        <v>28604.98399199696</v>
      </c>
    </row>
    <row r="30" spans="2:11">
      <c r="B30" s="195" t="s">
        <v>155</v>
      </c>
      <c r="C30" s="194">
        <v>5853.3018644386157</v>
      </c>
      <c r="D30" s="194">
        <v>20248.731004661051</v>
      </c>
      <c r="E30" s="194">
        <f t="shared" si="2"/>
        <v>26102.032869099668</v>
      </c>
      <c r="F30" s="194"/>
      <c r="H30" s="195" t="s">
        <v>155</v>
      </c>
      <c r="I30" s="194">
        <v>5862.5482440798623</v>
      </c>
      <c r="J30" s="194">
        <v>20290.12020031374</v>
      </c>
      <c r="K30" s="194">
        <f t="shared" si="3"/>
        <v>26152.668444393603</v>
      </c>
    </row>
    <row r="31" spans="2:11">
      <c r="B31" s="195" t="s">
        <v>217</v>
      </c>
      <c r="C31" s="194">
        <v>5043.5732368259924</v>
      </c>
      <c r="D31" s="194">
        <v>19454.076002669673</v>
      </c>
      <c r="E31" s="194">
        <f t="shared" si="2"/>
        <v>24497.649239495666</v>
      </c>
      <c r="F31" s="194"/>
      <c r="H31" s="195" t="s">
        <v>217</v>
      </c>
      <c r="I31" s="194">
        <v>5043.5732368259924</v>
      </c>
      <c r="J31" s="194">
        <v>19454.076002669673</v>
      </c>
      <c r="K31" s="194">
        <f t="shared" si="3"/>
        <v>24497.649239495666</v>
      </c>
    </row>
    <row r="32" spans="2:11">
      <c r="B32" s="195" t="s">
        <v>218</v>
      </c>
      <c r="C32" s="194">
        <v>4595.7241065435774</v>
      </c>
      <c r="D32" s="194">
        <v>15660.10138805791</v>
      </c>
      <c r="E32" s="194">
        <f t="shared" si="2"/>
        <v>20255.825494601486</v>
      </c>
      <c r="F32" s="194"/>
      <c r="H32" s="195" t="s">
        <v>218</v>
      </c>
      <c r="I32" s="194">
        <v>4595.7241065435774</v>
      </c>
      <c r="J32" s="194">
        <v>15660.10138805791</v>
      </c>
      <c r="K32" s="194">
        <f t="shared" si="3"/>
        <v>20255.825494601486</v>
      </c>
    </row>
    <row r="33" spans="2:14">
      <c r="B33" s="195" t="s">
        <v>219</v>
      </c>
      <c r="C33" s="194">
        <v>4762.4825776760435</v>
      </c>
      <c r="D33" s="194">
        <v>3405.2212329004547</v>
      </c>
      <c r="E33" s="194">
        <f t="shared" si="2"/>
        <v>8167.7038105764987</v>
      </c>
      <c r="F33" s="194"/>
      <c r="H33" s="195" t="s">
        <v>219</v>
      </c>
      <c r="I33" s="194">
        <v>4244.7274765463753</v>
      </c>
      <c r="J33" s="194">
        <v>5037.6454881626678</v>
      </c>
      <c r="K33" s="194">
        <f t="shared" si="3"/>
        <v>9282.372964709044</v>
      </c>
    </row>
    <row r="34" spans="2:14">
      <c r="B34" s="195" t="s">
        <v>220</v>
      </c>
      <c r="C34" s="194">
        <v>4462.3136908187171</v>
      </c>
      <c r="D34" s="194">
        <v>5350.7244266329799</v>
      </c>
      <c r="E34" s="194">
        <f t="shared" si="2"/>
        <v>9813.038117451697</v>
      </c>
      <c r="F34" s="194"/>
      <c r="H34" s="195" t="s">
        <v>220</v>
      </c>
      <c r="I34" s="194">
        <v>4984.4796002350513</v>
      </c>
      <c r="J34" s="194">
        <v>3879.391590611634</v>
      </c>
      <c r="K34" s="194">
        <f t="shared" si="3"/>
        <v>8863.8711908466848</v>
      </c>
    </row>
    <row r="35" spans="2:14">
      <c r="B35" s="195" t="s">
        <v>221</v>
      </c>
      <c r="C35" s="194">
        <v>4621.5891989294523</v>
      </c>
      <c r="D35" s="194">
        <v>13426.472680057836</v>
      </c>
      <c r="E35" s="194">
        <f t="shared" si="2"/>
        <v>18048.06187898729</v>
      </c>
      <c r="F35" s="194"/>
      <c r="H35" s="195" t="s">
        <v>221</v>
      </c>
      <c r="I35" s="194">
        <v>4638.8352016836898</v>
      </c>
      <c r="J35" s="194">
        <v>13426.472680057836</v>
      </c>
      <c r="K35" s="194">
        <f t="shared" si="3"/>
        <v>18065.307881741526</v>
      </c>
    </row>
    <row r="36" spans="2:14">
      <c r="B36" s="195" t="s">
        <v>222</v>
      </c>
      <c r="C36" s="194">
        <v>5227.0811024783479</v>
      </c>
      <c r="D36" s="194">
        <v>20836.258088566789</v>
      </c>
      <c r="E36" s="194">
        <f t="shared" si="2"/>
        <v>26063.339191045136</v>
      </c>
      <c r="F36" s="194"/>
      <c r="H36" s="195" t="s">
        <v>222</v>
      </c>
      <c r="I36" s="194">
        <v>5256.9085471817389</v>
      </c>
      <c r="J36" s="194">
        <v>20836.258088566789</v>
      </c>
      <c r="K36" s="194">
        <f t="shared" si="3"/>
        <v>26093.166635748526</v>
      </c>
    </row>
    <row r="37" spans="2:14">
      <c r="B37" s="197" t="s">
        <v>223</v>
      </c>
      <c r="C37" s="196">
        <v>5559.1224299959513</v>
      </c>
      <c r="D37" s="196">
        <v>23187.468992825347</v>
      </c>
      <c r="E37" s="196">
        <f t="shared" si="2"/>
        <v>28746.591422821297</v>
      </c>
      <c r="F37" s="196"/>
      <c r="H37" s="197" t="s">
        <v>223</v>
      </c>
      <c r="I37" s="196">
        <v>5559.1224299959513</v>
      </c>
      <c r="J37" s="196">
        <v>23187.468992825347</v>
      </c>
      <c r="K37" s="196">
        <f t="shared" si="3"/>
        <v>28746.591422821297</v>
      </c>
    </row>
    <row r="38" spans="2:14">
      <c r="B38" s="195" t="s">
        <v>227</v>
      </c>
      <c r="C38" s="194">
        <f>SUM(C26:C37)</f>
        <v>58267.040684128064</v>
      </c>
      <c r="D38" s="194">
        <f>SUM(D26:D37)</f>
        <v>209593.8805114862</v>
      </c>
      <c r="E38" s="194">
        <f>SUM(E26:E37)</f>
        <v>267860.92119561427</v>
      </c>
      <c r="F38" s="194"/>
      <c r="H38" s="195" t="s">
        <v>227</v>
      </c>
      <c r="I38" s="194">
        <f>SUM(I26:I37)</f>
        <v>58499.878043701901</v>
      </c>
      <c r="J38" s="194">
        <f>SUM(J26:J37)</f>
        <v>209796.36112637975</v>
      </c>
      <c r="K38" s="194">
        <f>SUM(K26:K37)</f>
        <v>268296.23917008168</v>
      </c>
    </row>
    <row r="39" spans="2:14">
      <c r="B39" s="193"/>
      <c r="H39" s="193"/>
    </row>
    <row r="42" spans="2:14">
      <c r="B42" s="190" t="s">
        <v>281</v>
      </c>
      <c r="C42" s="37" t="s">
        <v>213</v>
      </c>
      <c r="D42" s="37" t="s">
        <v>214</v>
      </c>
      <c r="E42" s="37" t="s">
        <v>215</v>
      </c>
      <c r="F42" s="37" t="s">
        <v>216</v>
      </c>
      <c r="G42" s="37" t="s">
        <v>155</v>
      </c>
      <c r="H42" s="37" t="s">
        <v>217</v>
      </c>
      <c r="I42" s="37" t="s">
        <v>218</v>
      </c>
      <c r="J42" s="37" t="s">
        <v>219</v>
      </c>
      <c r="K42" s="37" t="s">
        <v>220</v>
      </c>
      <c r="L42" s="37" t="s">
        <v>221</v>
      </c>
      <c r="M42" s="37" t="s">
        <v>222</v>
      </c>
      <c r="N42" s="37" t="s">
        <v>223</v>
      </c>
    </row>
    <row r="43" spans="2:14">
      <c r="B43" s="190" t="s">
        <v>92</v>
      </c>
      <c r="C43" s="192">
        <f t="array" ref="C43:N43">TRANSPOSE(E26:E37)</f>
        <v>26801.829778504991</v>
      </c>
      <c r="D43" s="192">
        <v>23621.220703103372</v>
      </c>
      <c r="E43" s="192">
        <v>27310.751422118527</v>
      </c>
      <c r="F43" s="192">
        <v>28432.877267808657</v>
      </c>
      <c r="G43" s="192">
        <v>26102.032869099668</v>
      </c>
      <c r="H43" s="192">
        <v>24497.649239495666</v>
      </c>
      <c r="I43" s="192">
        <v>20255.825494601486</v>
      </c>
      <c r="J43" s="192">
        <v>8167.7038105764987</v>
      </c>
      <c r="K43" s="192">
        <v>9813.038117451697</v>
      </c>
      <c r="L43" s="192">
        <v>18048.06187898729</v>
      </c>
      <c r="M43" s="192">
        <v>26063.339191045136</v>
      </c>
      <c r="N43" s="192">
        <v>28746.591422821297</v>
      </c>
    </row>
    <row r="44" spans="2:14">
      <c r="B44" s="190" t="s">
        <v>93</v>
      </c>
      <c r="C44" s="192">
        <f t="array" ref="C44:N44">TRANSPOSE(D7:D18)</f>
        <v>27019.32408307444</v>
      </c>
      <c r="D44" s="192">
        <v>21051.978210088171</v>
      </c>
      <c r="E44" s="192">
        <v>19659.123806167216</v>
      </c>
      <c r="F44" s="192">
        <v>19905.392014589295</v>
      </c>
      <c r="G44" s="192">
        <v>24702.67739112139</v>
      </c>
      <c r="H44" s="192">
        <v>46363.55758518925</v>
      </c>
      <c r="I44" s="192">
        <v>45973.590755924793</v>
      </c>
      <c r="J44" s="192">
        <v>31274.453641056596</v>
      </c>
      <c r="K44" s="192">
        <v>22499.374431974444</v>
      </c>
      <c r="L44" s="192">
        <v>31226.733180849842</v>
      </c>
      <c r="M44" s="192">
        <v>39032.944851309599</v>
      </c>
      <c r="N44" s="192">
        <v>31763.923998382648</v>
      </c>
    </row>
    <row r="45" spans="2:14">
      <c r="B45" s="190" t="s">
        <v>94</v>
      </c>
      <c r="C45" s="192">
        <f t="array" ref="C45:N45">TRANSPOSE(C7:C18)</f>
        <v>23231.789077668414</v>
      </c>
      <c r="D45" s="192">
        <v>18871.396366587804</v>
      </c>
      <c r="E45" s="192">
        <v>18861.751845630504</v>
      </c>
      <c r="F45" s="192">
        <v>17067.610494625238</v>
      </c>
      <c r="G45" s="192">
        <v>23913.322770792522</v>
      </c>
      <c r="H45" s="192">
        <v>36344.405611842478</v>
      </c>
      <c r="I45" s="192">
        <v>43146.921468778513</v>
      </c>
      <c r="J45" s="192">
        <v>25769.348489892785</v>
      </c>
      <c r="K45" s="192">
        <v>21885.378809919657</v>
      </c>
      <c r="L45" s="192">
        <v>34153.146874403697</v>
      </c>
      <c r="M45" s="192">
        <v>38462.26231700067</v>
      </c>
      <c r="N45" s="192">
        <v>27099.912905957422</v>
      </c>
    </row>
    <row r="47" spans="2:14">
      <c r="B47" s="191" t="s">
        <v>492</v>
      </c>
      <c r="C47" s="37" t="s">
        <v>213</v>
      </c>
      <c r="D47" s="37" t="s">
        <v>214</v>
      </c>
      <c r="E47" s="37" t="s">
        <v>215</v>
      </c>
      <c r="F47" s="37" t="s">
        <v>216</v>
      </c>
      <c r="G47" s="37" t="s">
        <v>155</v>
      </c>
      <c r="H47" s="37" t="s">
        <v>217</v>
      </c>
      <c r="I47" s="37" t="s">
        <v>218</v>
      </c>
      <c r="J47" s="37" t="s">
        <v>219</v>
      </c>
      <c r="K47" s="37" t="s">
        <v>220</v>
      </c>
      <c r="L47" s="37" t="s">
        <v>221</v>
      </c>
      <c r="M47" s="37" t="s">
        <v>222</v>
      </c>
      <c r="N47" s="37" t="s">
        <v>223</v>
      </c>
    </row>
    <row r="48" spans="2:14">
      <c r="B48" s="190" t="s">
        <v>92</v>
      </c>
      <c r="C48" s="189">
        <f t="array" ref="C48:N48">TRANSPOSE(K26:K37)</f>
        <v>26801.829778504991</v>
      </c>
      <c r="D48" s="189">
        <v>23621.220703103372</v>
      </c>
      <c r="E48" s="189">
        <v>27310.751422118527</v>
      </c>
      <c r="F48" s="189">
        <v>28604.98399199696</v>
      </c>
      <c r="G48" s="189">
        <v>26152.668444393603</v>
      </c>
      <c r="H48" s="189">
        <v>24497.649239495666</v>
      </c>
      <c r="I48" s="189">
        <v>20255.825494601486</v>
      </c>
      <c r="J48" s="189">
        <v>9282.372964709044</v>
      </c>
      <c r="K48" s="189">
        <v>8863.8711908466848</v>
      </c>
      <c r="L48" s="189">
        <v>18065.307881741526</v>
      </c>
      <c r="M48" s="189">
        <v>26093.166635748526</v>
      </c>
      <c r="N48" s="189">
        <v>28746.591422821297</v>
      </c>
    </row>
    <row r="49" spans="2:14">
      <c r="B49" s="190" t="s">
        <v>93</v>
      </c>
      <c r="C49" s="189">
        <f t="array" ref="C49:N49">TRANSPOSE(J7:J18)</f>
        <v>27019.32408307444</v>
      </c>
      <c r="D49" s="189">
        <v>20666.15173664565</v>
      </c>
      <c r="E49" s="189">
        <v>17145.846260319169</v>
      </c>
      <c r="F49" s="189">
        <v>17112.81631687659</v>
      </c>
      <c r="G49" s="189">
        <v>31103.950889941356</v>
      </c>
      <c r="H49" s="189">
        <v>47228.223822705026</v>
      </c>
      <c r="I49" s="189">
        <v>45693.596819259765</v>
      </c>
      <c r="J49" s="189">
        <v>31333.655409786792</v>
      </c>
      <c r="K49" s="189">
        <v>22488.326013037065</v>
      </c>
      <c r="L49" s="189">
        <v>31268.436007505712</v>
      </c>
      <c r="M49" s="189">
        <v>39079.834190539805</v>
      </c>
      <c r="N49" s="189">
        <v>31673.003449630331</v>
      </c>
    </row>
    <row r="50" spans="2:14">
      <c r="B50" s="190" t="s">
        <v>94</v>
      </c>
      <c r="C50" s="189">
        <f t="array" ref="C50:N50">TRANSPOSE(I7:I18)</f>
        <v>23231.789077668414</v>
      </c>
      <c r="D50" s="189">
        <v>18871.396366587804</v>
      </c>
      <c r="E50" s="189">
        <v>19017.863035131915</v>
      </c>
      <c r="F50" s="189">
        <v>16620.77441078793</v>
      </c>
      <c r="G50" s="189">
        <v>26207.295523043693</v>
      </c>
      <c r="H50" s="189">
        <v>37359.946340116898</v>
      </c>
      <c r="I50" s="189">
        <v>43153.038757453251</v>
      </c>
      <c r="J50" s="189">
        <v>25808.767659063022</v>
      </c>
      <c r="K50" s="189">
        <v>21920.222698013324</v>
      </c>
      <c r="L50" s="189">
        <v>34142.727012924181</v>
      </c>
      <c r="M50" s="189">
        <v>38439.858205688637</v>
      </c>
      <c r="N50" s="189">
        <v>27120.961367652239</v>
      </c>
    </row>
  </sheetData>
  <mergeCells count="4">
    <mergeCell ref="I5:K5"/>
    <mergeCell ref="I24:K24"/>
    <mergeCell ref="C5:E5"/>
    <mergeCell ref="C24:E2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V71"/>
  <sheetViews>
    <sheetView workbookViewId="0">
      <selection activeCell="M26" sqref="M26"/>
    </sheetView>
  </sheetViews>
  <sheetFormatPr defaultColWidth="9.140625" defaultRowHeight="15" outlineLevelRow="1"/>
  <cols>
    <col min="1" max="1" width="4" style="614" bestFit="1" customWidth="1"/>
    <col min="2" max="2" width="14.140625" style="614" bestFit="1" customWidth="1"/>
    <col min="3" max="3" width="15.140625" style="614" bestFit="1" customWidth="1"/>
    <col min="4" max="4" width="10.85546875" style="614" bestFit="1" customWidth="1"/>
    <col min="5" max="5" width="12.85546875" style="614" bestFit="1" customWidth="1"/>
    <col min="6" max="6" width="10.85546875" style="614" bestFit="1" customWidth="1"/>
    <col min="7" max="7" width="2.5703125" style="614" customWidth="1"/>
    <col min="8" max="8" width="13.85546875" style="614" customWidth="1"/>
    <col min="9" max="9" width="11.140625" style="614" customWidth="1"/>
    <col min="10" max="10" width="11.140625" style="614" bestFit="1" customWidth="1"/>
    <col min="11" max="11" width="12.140625" style="614" bestFit="1" customWidth="1"/>
    <col min="12" max="13" width="11.140625" style="614" bestFit="1" customWidth="1"/>
    <col min="14" max="14" width="13.85546875" style="614" bestFit="1" customWidth="1"/>
    <col min="15" max="15" width="9.140625" style="614" bestFit="1" customWidth="1"/>
    <col min="16" max="16" width="12.140625" style="614" bestFit="1" customWidth="1"/>
    <col min="17" max="16384" width="9.140625" style="614"/>
  </cols>
  <sheetData>
    <row r="1" spans="1:22" outlineLevel="1"/>
    <row r="2" spans="1:22" outlineLevel="1"/>
    <row r="3" spans="1:22" ht="18">
      <c r="A3" s="645" t="s">
        <v>503</v>
      </c>
    </row>
    <row r="5" spans="1:22">
      <c r="B5" s="643" t="s">
        <v>228</v>
      </c>
      <c r="L5" s="644"/>
    </row>
    <row r="6" spans="1:22" ht="15.75" thickBot="1">
      <c r="B6" s="643" t="s">
        <v>229</v>
      </c>
      <c r="H6" s="642" t="s">
        <v>230</v>
      </c>
      <c r="I6" s="641"/>
      <c r="J6" s="641"/>
      <c r="K6" s="641"/>
      <c r="L6" s="641"/>
      <c r="M6" s="641"/>
      <c r="N6" s="641"/>
      <c r="O6" s="642" t="s">
        <v>231</v>
      </c>
      <c r="P6" s="641"/>
      <c r="Q6" s="641"/>
      <c r="R6" s="641"/>
      <c r="S6" s="641"/>
      <c r="T6" s="641"/>
    </row>
    <row r="7" spans="1:22" ht="15.75" thickBot="1">
      <c r="B7" s="627"/>
      <c r="C7" s="627" t="s">
        <v>232</v>
      </c>
      <c r="D7" s="627" t="s">
        <v>233</v>
      </c>
      <c r="F7" s="627" t="s">
        <v>234</v>
      </c>
      <c r="H7" s="640" t="s">
        <v>235</v>
      </c>
      <c r="I7" s="627"/>
      <c r="J7" s="627" t="s">
        <v>232</v>
      </c>
      <c r="K7" s="627" t="s">
        <v>233</v>
      </c>
      <c r="M7" s="627" t="s">
        <v>234</v>
      </c>
      <c r="P7" s="627"/>
      <c r="Q7" s="627" t="s">
        <v>232</v>
      </c>
      <c r="R7" s="627" t="s">
        <v>233</v>
      </c>
      <c r="T7" s="627" t="s">
        <v>234</v>
      </c>
    </row>
    <row r="8" spans="1:22" ht="15.75" thickBot="1">
      <c r="B8" s="639" t="s">
        <v>236</v>
      </c>
      <c r="C8" s="639" t="s">
        <v>237</v>
      </c>
      <c r="D8" s="639" t="s">
        <v>238</v>
      </c>
      <c r="E8" s="639" t="s">
        <v>239</v>
      </c>
      <c r="F8" s="639" t="s">
        <v>240</v>
      </c>
      <c r="H8" s="640" t="s">
        <v>241</v>
      </c>
      <c r="I8" s="485" t="s">
        <v>236</v>
      </c>
      <c r="J8" s="485" t="s">
        <v>237</v>
      </c>
      <c r="K8" s="485" t="s">
        <v>242</v>
      </c>
      <c r="L8" s="485" t="s">
        <v>239</v>
      </c>
      <c r="M8" s="485" t="s">
        <v>240</v>
      </c>
      <c r="N8" s="485" t="s">
        <v>55</v>
      </c>
      <c r="O8" s="640" t="s">
        <v>241</v>
      </c>
      <c r="P8" s="639" t="s">
        <v>236</v>
      </c>
      <c r="Q8" s="639" t="s">
        <v>237</v>
      </c>
      <c r="R8" s="639" t="s">
        <v>242</v>
      </c>
      <c r="S8" s="639" t="s">
        <v>239</v>
      </c>
      <c r="T8" s="639" t="s">
        <v>240</v>
      </c>
    </row>
    <row r="9" spans="1:22">
      <c r="A9" s="627">
        <v>1</v>
      </c>
      <c r="B9" s="633">
        <v>1.0572581929903879</v>
      </c>
      <c r="C9" s="633">
        <v>1.0368184968706589</v>
      </c>
      <c r="D9" s="633">
        <v>1.0812902350397615</v>
      </c>
      <c r="E9" s="633">
        <v>1.0941343901270155</v>
      </c>
      <c r="F9" s="633">
        <v>1.1217653914798873</v>
      </c>
      <c r="H9" s="627">
        <v>1</v>
      </c>
      <c r="I9" s="476">
        <v>116097.09405</v>
      </c>
      <c r="J9" s="476">
        <v>136249.65</v>
      </c>
      <c r="K9" s="476">
        <v>61138.2</v>
      </c>
      <c r="L9" s="476">
        <v>2969.0361600000001</v>
      </c>
      <c r="M9" s="476">
        <v>2835.4732800000002</v>
      </c>
      <c r="N9" s="482">
        <f t="shared" ref="N9:N20" si="0">SUM(I9:M9)</f>
        <v>319289.45348999999</v>
      </c>
      <c r="O9" s="627">
        <v>1</v>
      </c>
      <c r="P9" s="634">
        <v>0.2989</v>
      </c>
      <c r="Q9" s="634">
        <v>0.25</v>
      </c>
      <c r="R9" s="634">
        <v>0.25</v>
      </c>
      <c r="S9" s="634">
        <v>6.4000000000000003E-3</v>
      </c>
      <c r="T9" s="634">
        <v>6.4000000000000003E-3</v>
      </c>
    </row>
    <row r="10" spans="1:22">
      <c r="A10" s="627">
        <v>2</v>
      </c>
      <c r="B10" s="633">
        <v>0.97155964821509477</v>
      </c>
      <c r="C10" s="633">
        <v>0.94515462320181265</v>
      </c>
      <c r="D10" s="633">
        <v>0.99315593923449241</v>
      </c>
      <c r="E10" s="633">
        <v>1.0049632186017328</v>
      </c>
      <c r="F10" s="633">
        <v>1.0359425907255935</v>
      </c>
      <c r="H10" s="627">
        <v>2</v>
      </c>
      <c r="I10" s="476">
        <v>96538.721999999994</v>
      </c>
      <c r="J10" s="476">
        <v>112478.1</v>
      </c>
      <c r="K10" s="476">
        <v>50843.1</v>
      </c>
      <c r="L10" s="476">
        <v>2470.5408000000002</v>
      </c>
      <c r="M10" s="476">
        <v>2372.3212800000001</v>
      </c>
      <c r="N10" s="482">
        <f t="shared" si="0"/>
        <v>264702.78407999995</v>
      </c>
      <c r="O10" s="627">
        <v>2</v>
      </c>
      <c r="P10" s="634">
        <v>0.2989</v>
      </c>
      <c r="Q10" s="634">
        <v>0.25</v>
      </c>
      <c r="R10" s="634">
        <v>0.25</v>
      </c>
      <c r="S10" s="634">
        <v>6.4000000000000003E-3</v>
      </c>
      <c r="T10" s="634">
        <v>6.4000000000000003E-3</v>
      </c>
    </row>
    <row r="11" spans="1:22">
      <c r="A11" s="627">
        <v>3</v>
      </c>
      <c r="B11" s="633">
        <v>0.93199916319052778</v>
      </c>
      <c r="C11" s="633">
        <v>0.90720319676005146</v>
      </c>
      <c r="D11" s="633">
        <v>0.95775163516127504</v>
      </c>
      <c r="E11" s="633">
        <v>0.96838626250805571</v>
      </c>
      <c r="F11" s="633">
        <v>0.9893149663936569</v>
      </c>
      <c r="H11" s="627">
        <v>3</v>
      </c>
      <c r="I11" s="476">
        <v>102239.9406</v>
      </c>
      <c r="J11" s="476">
        <v>119086.5</v>
      </c>
      <c r="K11" s="476">
        <v>54116.7</v>
      </c>
      <c r="L11" s="476">
        <v>2633.2838400000001</v>
      </c>
      <c r="M11" s="476">
        <v>2502.8755200000001</v>
      </c>
      <c r="N11" s="482">
        <f t="shared" si="0"/>
        <v>280579.29995999997</v>
      </c>
      <c r="O11" s="627">
        <v>3</v>
      </c>
      <c r="P11" s="634">
        <v>0.2989</v>
      </c>
      <c r="Q11" s="634">
        <v>0.25</v>
      </c>
      <c r="R11" s="634">
        <v>0.25</v>
      </c>
      <c r="S11" s="634">
        <v>6.4000000000000003E-3</v>
      </c>
      <c r="T11" s="634">
        <v>6.4000000000000003E-3</v>
      </c>
    </row>
    <row r="12" spans="1:22">
      <c r="A12" s="627">
        <v>4</v>
      </c>
      <c r="B12" s="633">
        <v>1.050464309823617</v>
      </c>
      <c r="C12" s="633">
        <v>1.0886264545731221</v>
      </c>
      <c r="D12" s="633">
        <v>1.0893968308138051</v>
      </c>
      <c r="E12" s="633">
        <v>1.0607378016921656</v>
      </c>
      <c r="F12" s="633">
        <v>1.0300292458942653</v>
      </c>
      <c r="H12" s="627">
        <v>4</v>
      </c>
      <c r="I12" s="476">
        <v>110965.27995</v>
      </c>
      <c r="J12" s="476">
        <v>137418.75</v>
      </c>
      <c r="K12" s="476">
        <v>59207.625</v>
      </c>
      <c r="L12" s="476">
        <v>2777.2128000000002</v>
      </c>
      <c r="M12" s="476">
        <v>2514.5856000000003</v>
      </c>
      <c r="N12" s="482">
        <f t="shared" si="0"/>
        <v>312883.45334999997</v>
      </c>
      <c r="O12" s="627">
        <v>4</v>
      </c>
      <c r="P12" s="634">
        <v>0.2989</v>
      </c>
      <c r="Q12" s="634">
        <v>0.25</v>
      </c>
      <c r="R12" s="634">
        <v>0.25</v>
      </c>
      <c r="S12" s="634">
        <v>6.4000000000000003E-3</v>
      </c>
      <c r="T12" s="634">
        <v>6.4000000000000003E-3</v>
      </c>
    </row>
    <row r="13" spans="1:22">
      <c r="A13" s="627">
        <v>5</v>
      </c>
      <c r="B13" s="633">
        <v>1.2712434868845324</v>
      </c>
      <c r="C13" s="633">
        <v>1.4023196041901054</v>
      </c>
      <c r="D13" s="633">
        <v>1.3200715579220539</v>
      </c>
      <c r="E13" s="633">
        <v>1.2376692835088143</v>
      </c>
      <c r="F13" s="633">
        <v>1.1973536251419881</v>
      </c>
      <c r="H13" s="627">
        <v>5</v>
      </c>
      <c r="I13" s="476">
        <v>138129.55106999999</v>
      </c>
      <c r="J13" s="476">
        <v>182277.67499999999</v>
      </c>
      <c r="K13" s="476">
        <v>73842</v>
      </c>
      <c r="L13" s="476">
        <v>3316.1568000000002</v>
      </c>
      <c r="M13" s="476">
        <v>3000.5222399999998</v>
      </c>
      <c r="N13" s="482">
        <f t="shared" si="0"/>
        <v>400565.90510999999</v>
      </c>
      <c r="O13" s="627">
        <v>5</v>
      </c>
      <c r="P13" s="634">
        <v>0.2989</v>
      </c>
      <c r="Q13" s="634">
        <v>0.25</v>
      </c>
      <c r="R13" s="634">
        <v>0.25</v>
      </c>
      <c r="S13" s="634">
        <v>6.4000000000000003E-3</v>
      </c>
      <c r="T13" s="634">
        <v>6.4000000000000003E-3</v>
      </c>
    </row>
    <row r="14" spans="1:22">
      <c r="A14" s="627">
        <v>6</v>
      </c>
      <c r="B14" s="633">
        <v>1.2362006542294928</v>
      </c>
      <c r="C14" s="633">
        <v>1.3193005921763414</v>
      </c>
      <c r="D14" s="633">
        <v>1.2042977538476265</v>
      </c>
      <c r="E14" s="633">
        <v>1.2032710338789507</v>
      </c>
      <c r="F14" s="633">
        <v>1.1538441402122166</v>
      </c>
      <c r="H14" s="627">
        <v>6</v>
      </c>
      <c r="I14" s="476">
        <v>130477.9203</v>
      </c>
      <c r="J14" s="476">
        <v>167031.00000000003</v>
      </c>
      <c r="K14" s="476">
        <v>65630.25</v>
      </c>
      <c r="L14" s="476">
        <v>3138.7392</v>
      </c>
      <c r="M14" s="476">
        <v>2812.4928</v>
      </c>
      <c r="N14" s="482">
        <f t="shared" si="0"/>
        <v>369090.40230000002</v>
      </c>
      <c r="O14" s="627">
        <v>6</v>
      </c>
      <c r="P14" s="634">
        <v>0.2989</v>
      </c>
      <c r="Q14" s="634">
        <v>0.25</v>
      </c>
      <c r="R14" s="634">
        <v>0.25</v>
      </c>
      <c r="S14" s="634">
        <v>6.4000000000000003E-3</v>
      </c>
      <c r="T14" s="634">
        <v>6.4000000000000003E-3</v>
      </c>
    </row>
    <row r="15" spans="1:22">
      <c r="A15" s="627">
        <v>7</v>
      </c>
      <c r="B15" s="633">
        <v>1.1495271830884335</v>
      </c>
      <c r="C15" s="633">
        <v>1.1458546562315188</v>
      </c>
      <c r="D15" s="633">
        <v>1.0453596078516303</v>
      </c>
      <c r="E15" s="633">
        <v>1.1135807667343163</v>
      </c>
      <c r="F15" s="633">
        <v>1.0643616398746367</v>
      </c>
      <c r="H15" s="627">
        <v>7</v>
      </c>
      <c r="I15" s="476">
        <v>125567.77043999999</v>
      </c>
      <c r="J15" s="476">
        <v>150136.875</v>
      </c>
      <c r="K15" s="476">
        <v>58875.974999999999</v>
      </c>
      <c r="L15" s="476">
        <v>3017.7830399999998</v>
      </c>
      <c r="M15" s="476">
        <v>2698.2796800000001</v>
      </c>
      <c r="N15" s="482">
        <f t="shared" si="0"/>
        <v>340296.68315999996</v>
      </c>
      <c r="O15" s="627">
        <v>7</v>
      </c>
      <c r="P15" s="634">
        <v>0.2989</v>
      </c>
      <c r="Q15" s="634">
        <v>0.25</v>
      </c>
      <c r="R15" s="634">
        <v>0.25</v>
      </c>
      <c r="S15" s="634">
        <v>6.4000000000000003E-3</v>
      </c>
      <c r="T15" s="634">
        <v>6.4000000000000003E-3</v>
      </c>
    </row>
    <row r="16" spans="1:22">
      <c r="A16" s="627">
        <v>8</v>
      </c>
      <c r="B16" s="633">
        <v>1.0292560813774216</v>
      </c>
      <c r="C16" s="633">
        <v>1.0017616930325968</v>
      </c>
      <c r="D16" s="633">
        <v>0.96065778656602507</v>
      </c>
      <c r="E16" s="633">
        <v>0.99468225045492564</v>
      </c>
      <c r="F16" s="633">
        <v>0.89807338903495226</v>
      </c>
      <c r="H16" s="627">
        <v>8</v>
      </c>
      <c r="I16" s="476">
        <v>112324.13913</v>
      </c>
      <c r="J16" s="476">
        <v>130571.625</v>
      </c>
      <c r="K16" s="476">
        <v>53935.275000000001</v>
      </c>
      <c r="L16" s="476">
        <v>2697.8361600000003</v>
      </c>
      <c r="M16" s="476">
        <v>2281.6320000000001</v>
      </c>
      <c r="N16" s="482">
        <f t="shared" si="0"/>
        <v>301810.50728999998</v>
      </c>
      <c r="O16" s="627">
        <v>8</v>
      </c>
      <c r="P16" s="634">
        <v>0.2989</v>
      </c>
      <c r="Q16" s="634">
        <v>0.25</v>
      </c>
      <c r="R16" s="634">
        <v>0.25</v>
      </c>
      <c r="S16" s="634">
        <v>6.4000000000000003E-3</v>
      </c>
      <c r="T16" s="634">
        <v>6.4000000000000003E-3</v>
      </c>
      <c r="V16" s="638"/>
    </row>
    <row r="17" spans="1:20">
      <c r="A17" s="627">
        <v>9</v>
      </c>
      <c r="B17" s="633">
        <v>0.65456527561160371</v>
      </c>
      <c r="C17" s="633">
        <v>0.61159434496818588</v>
      </c>
      <c r="D17" s="633">
        <v>0.66257245345194737</v>
      </c>
      <c r="E17" s="633">
        <v>0.62727162798886982</v>
      </c>
      <c r="F17" s="633">
        <v>0.68305411755407408</v>
      </c>
      <c r="H17" s="627">
        <v>9</v>
      </c>
      <c r="I17" s="482">
        <v>79410.384900000005</v>
      </c>
      <c r="J17" s="476">
        <v>76871.25</v>
      </c>
      <c r="K17" s="476">
        <v>35856</v>
      </c>
      <c r="L17" s="476">
        <v>1638.8352</v>
      </c>
      <c r="M17" s="476">
        <v>1664.4672</v>
      </c>
      <c r="N17" s="482">
        <f t="shared" si="0"/>
        <v>195440.93730000002</v>
      </c>
      <c r="O17" s="627">
        <v>9</v>
      </c>
      <c r="P17" s="634">
        <v>0.34429999999999999</v>
      </c>
      <c r="Q17" s="634">
        <v>0.25</v>
      </c>
      <c r="R17" s="634">
        <v>0.25</v>
      </c>
      <c r="S17" s="634">
        <v>6.4000000000000003E-3</v>
      </c>
      <c r="T17" s="634">
        <v>6.4000000000000003E-3</v>
      </c>
    </row>
    <row r="18" spans="1:20">
      <c r="A18" s="627">
        <v>10</v>
      </c>
      <c r="B18" s="633">
        <v>0.70267959525226753</v>
      </c>
      <c r="C18" s="633">
        <v>0.67089365951556712</v>
      </c>
      <c r="D18" s="633">
        <v>0.72054114194254149</v>
      </c>
      <c r="E18" s="633">
        <v>0.6898485628418094</v>
      </c>
      <c r="F18" s="633">
        <v>0.746085984294803</v>
      </c>
      <c r="H18" s="627">
        <v>10</v>
      </c>
      <c r="I18" s="482">
        <v>87254.227499999994</v>
      </c>
      <c r="J18" s="476">
        <v>85936.65</v>
      </c>
      <c r="K18" s="476">
        <v>39829.574999999997</v>
      </c>
      <c r="L18" s="476">
        <v>1839.9417600000002</v>
      </c>
      <c r="M18" s="476">
        <v>1859.2857600000002</v>
      </c>
      <c r="N18" s="482">
        <f t="shared" si="0"/>
        <v>216719.68002</v>
      </c>
      <c r="O18" s="627">
        <v>10</v>
      </c>
      <c r="P18" s="634">
        <v>0.34429999999999999</v>
      </c>
      <c r="Q18" s="634">
        <v>0.25</v>
      </c>
      <c r="R18" s="634">
        <v>0.25</v>
      </c>
      <c r="S18" s="634">
        <v>6.4000000000000003E-3</v>
      </c>
      <c r="T18" s="634">
        <v>6.4000000000000003E-3</v>
      </c>
    </row>
    <row r="19" spans="1:20">
      <c r="A19" s="627">
        <v>11</v>
      </c>
      <c r="B19" s="633">
        <v>0.91016246273444978</v>
      </c>
      <c r="C19" s="633">
        <v>0.87172845252307529</v>
      </c>
      <c r="D19" s="633">
        <v>0.92293822767430989</v>
      </c>
      <c r="E19" s="633">
        <v>0.93010680391005296</v>
      </c>
      <c r="F19" s="633">
        <v>0.97303162125402876</v>
      </c>
      <c r="H19" s="627">
        <v>11</v>
      </c>
      <c r="I19" s="482">
        <v>109411.99829999999</v>
      </c>
      <c r="J19" s="476">
        <v>108123.75</v>
      </c>
      <c r="K19" s="476">
        <v>49434.75</v>
      </c>
      <c r="L19" s="476">
        <v>2403.4176000000002</v>
      </c>
      <c r="M19" s="476">
        <v>2348.1792</v>
      </c>
      <c r="N19" s="482">
        <f t="shared" si="0"/>
        <v>271722.09509999998</v>
      </c>
      <c r="O19" s="627">
        <v>11</v>
      </c>
      <c r="P19" s="634">
        <v>0.34429999999999999</v>
      </c>
      <c r="Q19" s="634">
        <v>0.25</v>
      </c>
      <c r="R19" s="634">
        <v>0.25</v>
      </c>
      <c r="S19" s="634">
        <v>6.4000000000000003E-3</v>
      </c>
      <c r="T19" s="634">
        <v>6.4000000000000003E-3</v>
      </c>
    </row>
    <row r="20" spans="1:20">
      <c r="A20" s="635">
        <v>12</v>
      </c>
      <c r="B20" s="646">
        <v>1.0275378707003802</v>
      </c>
      <c r="C20" s="646">
        <v>0.98992853930683999</v>
      </c>
      <c r="D20" s="646">
        <v>1.0374078977039225</v>
      </c>
      <c r="E20" s="646">
        <v>1.0700666081815247</v>
      </c>
      <c r="F20" s="646">
        <v>1.1054589944976836</v>
      </c>
      <c r="H20" s="635">
        <v>12</v>
      </c>
      <c r="I20" s="483">
        <v>99288.203370000003</v>
      </c>
      <c r="J20" s="484">
        <v>128216.77499999999</v>
      </c>
      <c r="K20" s="484">
        <v>57929.7</v>
      </c>
      <c r="L20" s="484">
        <v>2875.53024</v>
      </c>
      <c r="M20" s="484">
        <v>2771.7868800000001</v>
      </c>
      <c r="N20" s="483">
        <f t="shared" si="0"/>
        <v>291081.99549</v>
      </c>
      <c r="O20" s="635">
        <v>12</v>
      </c>
      <c r="P20" s="634">
        <v>0.26590000000000003</v>
      </c>
      <c r="Q20" s="634">
        <v>0.25</v>
      </c>
      <c r="R20" s="634">
        <v>0.25</v>
      </c>
      <c r="S20" s="634">
        <v>6.4000000000000003E-3</v>
      </c>
      <c r="T20" s="634">
        <v>6.4000000000000003E-3</v>
      </c>
    </row>
    <row r="21" spans="1:20">
      <c r="A21" s="627">
        <v>13</v>
      </c>
      <c r="B21" s="633">
        <v>0.6331789491376989</v>
      </c>
      <c r="C21" s="633">
        <v>0.54752364329073311</v>
      </c>
      <c r="D21" s="633">
        <v>0.48364514366944417</v>
      </c>
      <c r="E21" s="633">
        <v>0.54607137672552597</v>
      </c>
      <c r="F21" s="633">
        <v>0.55365441349335143</v>
      </c>
      <c r="H21" s="627" t="s">
        <v>55</v>
      </c>
      <c r="I21" s="482">
        <f t="shared" ref="I21:N21" si="1">SUM(I9:I20)</f>
        <v>1307705.2316100001</v>
      </c>
      <c r="J21" s="482">
        <f t="shared" si="1"/>
        <v>1534398.5999999999</v>
      </c>
      <c r="K21" s="482">
        <f t="shared" si="1"/>
        <v>660639.14999999991</v>
      </c>
      <c r="L21" s="482">
        <f t="shared" si="1"/>
        <v>31778.313600000001</v>
      </c>
      <c r="M21" s="482">
        <f t="shared" si="1"/>
        <v>29661.901439999998</v>
      </c>
      <c r="N21" s="482">
        <f t="shared" si="1"/>
        <v>3564183.1966499998</v>
      </c>
      <c r="O21" s="627" t="s">
        <v>243</v>
      </c>
      <c r="P21" s="204">
        <f>AVERAGE(P9:P20)</f>
        <v>0.30750000000000005</v>
      </c>
      <c r="Q21" s="204">
        <f>AVERAGE(Q9:Q20)</f>
        <v>0.25</v>
      </c>
      <c r="R21" s="204">
        <f>AVERAGE(R9:R20)</f>
        <v>0.25</v>
      </c>
      <c r="S21" s="204">
        <f>AVERAGE(S9:S20)</f>
        <v>6.400000000000002E-3</v>
      </c>
      <c r="T21" s="204">
        <f>AVERAGE(T9:T20)</f>
        <v>6.400000000000002E-3</v>
      </c>
    </row>
    <row r="22" spans="1:20">
      <c r="I22" s="481"/>
      <c r="J22" s="481"/>
      <c r="K22" s="481"/>
      <c r="L22" s="481"/>
      <c r="M22" s="481"/>
      <c r="N22" s="481"/>
      <c r="O22" s="614" t="s">
        <v>244</v>
      </c>
    </row>
    <row r="23" spans="1:20" outlineLevel="1"/>
    <row r="24" spans="1:20" ht="18">
      <c r="A24" s="645" t="s">
        <v>502</v>
      </c>
    </row>
    <row r="26" spans="1:20">
      <c r="B26" s="643" t="s">
        <v>228</v>
      </c>
      <c r="L26" s="644"/>
    </row>
    <row r="27" spans="1:20" ht="15.75" thickBot="1">
      <c r="B27" s="643" t="s">
        <v>229</v>
      </c>
      <c r="H27" s="642" t="s">
        <v>501</v>
      </c>
      <c r="I27" s="641"/>
      <c r="J27" s="641"/>
      <c r="K27" s="641"/>
      <c r="L27" s="641"/>
      <c r="M27" s="641"/>
      <c r="N27" s="641"/>
      <c r="O27" s="642" t="s">
        <v>231</v>
      </c>
      <c r="P27" s="641"/>
      <c r="Q27" s="641"/>
      <c r="R27" s="641"/>
      <c r="S27" s="641"/>
      <c r="T27" s="641"/>
    </row>
    <row r="28" spans="1:20" ht="15.75" thickBot="1">
      <c r="B28" s="627"/>
      <c r="C28" s="627" t="s">
        <v>232</v>
      </c>
      <c r="D28" s="627" t="s">
        <v>233</v>
      </c>
      <c r="F28" s="627" t="s">
        <v>234</v>
      </c>
      <c r="H28" s="640" t="s">
        <v>235</v>
      </c>
      <c r="I28" s="627"/>
      <c r="J28" s="627" t="s">
        <v>232</v>
      </c>
      <c r="K28" s="627" t="s">
        <v>233</v>
      </c>
      <c r="M28" s="627" t="s">
        <v>234</v>
      </c>
      <c r="P28" s="627"/>
      <c r="Q28" s="627" t="s">
        <v>232</v>
      </c>
      <c r="R28" s="627" t="s">
        <v>233</v>
      </c>
      <c r="T28" s="627" t="s">
        <v>234</v>
      </c>
    </row>
    <row r="29" spans="1:20" ht="15.75" thickBot="1">
      <c r="B29" s="639" t="s">
        <v>236</v>
      </c>
      <c r="C29" s="639" t="s">
        <v>237</v>
      </c>
      <c r="D29" s="639" t="s">
        <v>238</v>
      </c>
      <c r="E29" s="639" t="s">
        <v>239</v>
      </c>
      <c r="F29" s="639" t="s">
        <v>240</v>
      </c>
      <c r="H29" s="640" t="s">
        <v>241</v>
      </c>
      <c r="I29" s="485" t="s">
        <v>236</v>
      </c>
      <c r="J29" s="485" t="s">
        <v>237</v>
      </c>
      <c r="K29" s="485" t="s">
        <v>242</v>
      </c>
      <c r="L29" s="485" t="s">
        <v>239</v>
      </c>
      <c r="M29" s="485" t="s">
        <v>240</v>
      </c>
      <c r="N29" s="485" t="s">
        <v>55</v>
      </c>
      <c r="O29" s="640" t="s">
        <v>241</v>
      </c>
      <c r="P29" s="639" t="s">
        <v>236</v>
      </c>
      <c r="Q29" s="639" t="s">
        <v>237</v>
      </c>
      <c r="R29" s="639" t="s">
        <v>242</v>
      </c>
      <c r="S29" s="639" t="s">
        <v>239</v>
      </c>
      <c r="T29" s="639" t="s">
        <v>240</v>
      </c>
    </row>
    <row r="30" spans="1:20">
      <c r="A30" s="627">
        <v>1</v>
      </c>
      <c r="B30" s="637">
        <v>1.1088885960286523</v>
      </c>
      <c r="C30" s="637">
        <v>1.1122040971422498</v>
      </c>
      <c r="D30" s="637">
        <v>1.1120012052268005</v>
      </c>
      <c r="E30" s="637">
        <v>1.1048174277122755</v>
      </c>
      <c r="F30" s="637">
        <v>1.1162515887935602</v>
      </c>
      <c r="H30" s="627">
        <v>1</v>
      </c>
      <c r="I30" s="476">
        <v>30438.353500000001</v>
      </c>
      <c r="J30" s="476">
        <v>147919.359</v>
      </c>
      <c r="K30" s="476">
        <v>60540.94</v>
      </c>
      <c r="L30" s="476">
        <v>1419.2916299999999</v>
      </c>
      <c r="M30" s="476">
        <v>1263.43</v>
      </c>
      <c r="N30" s="482">
        <f t="shared" ref="N30:N41" si="2">SUM(I30:M30)</f>
        <v>241581.37412999998</v>
      </c>
      <c r="O30" s="627">
        <v>1</v>
      </c>
      <c r="P30" s="634">
        <v>7.9388548502231773E-2</v>
      </c>
      <c r="Q30" s="634">
        <v>0.25</v>
      </c>
      <c r="R30" s="634">
        <v>0.25</v>
      </c>
      <c r="S30" s="634">
        <v>6.4000000000000003E-3</v>
      </c>
      <c r="T30" s="634">
        <v>6.4000000000000003E-3</v>
      </c>
    </row>
    <row r="31" spans="1:20">
      <c r="A31" s="627">
        <v>2</v>
      </c>
      <c r="B31" s="637">
        <v>1.0526113972259794</v>
      </c>
      <c r="C31" s="637">
        <v>1.0449327782693842</v>
      </c>
      <c r="D31" s="637">
        <v>1.0649293943749651</v>
      </c>
      <c r="E31" s="637">
        <v>1.0465169323369312</v>
      </c>
      <c r="F31" s="637">
        <v>1.0294843821070516</v>
      </c>
      <c r="H31" s="627">
        <v>2</v>
      </c>
      <c r="I31" s="476">
        <v>26502.337899999999</v>
      </c>
      <c r="J31" s="476">
        <v>125463.56299999999</v>
      </c>
      <c r="K31" s="476">
        <v>52857.19</v>
      </c>
      <c r="L31" s="476">
        <v>1193.8843999999999</v>
      </c>
      <c r="M31" s="476">
        <v>1005.49854</v>
      </c>
      <c r="N31" s="482">
        <f t="shared" si="2"/>
        <v>207022.47384000002</v>
      </c>
      <c r="O31" s="627">
        <v>2</v>
      </c>
      <c r="P31" s="634">
        <v>7.9388548502231773E-2</v>
      </c>
      <c r="Q31" s="634">
        <v>0.25</v>
      </c>
      <c r="R31" s="634">
        <v>0.25</v>
      </c>
      <c r="S31" s="634">
        <v>6.4000000000000003E-3</v>
      </c>
      <c r="T31" s="634">
        <v>6.4000000000000003E-3</v>
      </c>
    </row>
    <row r="32" spans="1:20">
      <c r="A32" s="627">
        <v>3</v>
      </c>
      <c r="B32" s="637">
        <v>0.87082532589071082</v>
      </c>
      <c r="C32" s="637">
        <v>0.855154684499569</v>
      </c>
      <c r="D32" s="637">
        <v>0.91595836296710775</v>
      </c>
      <c r="E32" s="637">
        <v>0.89864251639318693</v>
      </c>
      <c r="F32" s="637">
        <v>0.9253565325510491</v>
      </c>
      <c r="H32" s="627">
        <v>3</v>
      </c>
      <c r="I32" s="476">
        <v>55022.99</v>
      </c>
      <c r="J32" s="476">
        <v>116105</v>
      </c>
      <c r="K32" s="476">
        <v>50603.816400000003</v>
      </c>
      <c r="L32" s="476">
        <v>1872.3589999999999</v>
      </c>
      <c r="M32" s="476">
        <v>1793.2737999999999</v>
      </c>
      <c r="N32" s="482">
        <f t="shared" si="2"/>
        <v>225397.43919999999</v>
      </c>
      <c r="O32" s="627">
        <v>3</v>
      </c>
      <c r="P32" s="634">
        <v>0.17260503918151057</v>
      </c>
      <c r="Q32" s="634">
        <v>0.25</v>
      </c>
      <c r="R32" s="634">
        <v>0.25</v>
      </c>
      <c r="S32" s="634">
        <v>6.4000000000000003E-3</v>
      </c>
      <c r="T32" s="634">
        <v>6.4000000000000003E-3</v>
      </c>
    </row>
    <row r="33" spans="1:22">
      <c r="A33" s="627">
        <v>4</v>
      </c>
      <c r="B33" s="637">
        <v>0.939550893685835</v>
      </c>
      <c r="C33" s="637">
        <v>0.96928715662757337</v>
      </c>
      <c r="D33" s="637">
        <v>0.96636525798544359</v>
      </c>
      <c r="E33" s="637">
        <v>0.9477229061337088</v>
      </c>
      <c r="F33" s="637">
        <v>0.94416463227926906</v>
      </c>
      <c r="H33" s="627">
        <v>4</v>
      </c>
      <c r="I33" s="476">
        <v>61146.992200000001</v>
      </c>
      <c r="J33" s="476">
        <v>126773.859</v>
      </c>
      <c r="K33" s="476">
        <v>51248.417999999998</v>
      </c>
      <c r="L33" s="476">
        <v>2066.9140000000002</v>
      </c>
      <c r="M33" s="476">
        <v>1853.9461699999999</v>
      </c>
      <c r="N33" s="482">
        <f t="shared" si="2"/>
        <v>243090.12937000001</v>
      </c>
      <c r="O33" s="627">
        <v>4</v>
      </c>
      <c r="P33" s="634">
        <v>0.18631334663434565</v>
      </c>
      <c r="Q33" s="634">
        <v>0.25</v>
      </c>
      <c r="R33" s="634">
        <v>0.25</v>
      </c>
      <c r="S33" s="634">
        <v>6.4000000000000003E-3</v>
      </c>
      <c r="T33" s="634">
        <v>6.4000000000000003E-3</v>
      </c>
    </row>
    <row r="34" spans="1:22">
      <c r="A34" s="627">
        <v>5</v>
      </c>
      <c r="B34" s="637">
        <v>1.2395407551666222</v>
      </c>
      <c r="C34" s="637">
        <v>1.315014005332054</v>
      </c>
      <c r="D34" s="637">
        <v>1.2331589290612304</v>
      </c>
      <c r="E34" s="637">
        <v>1.2215420027309225</v>
      </c>
      <c r="F34" s="637">
        <v>1.1906743258394519</v>
      </c>
      <c r="H34" s="627">
        <v>5</v>
      </c>
      <c r="I34" s="476">
        <v>96684.414099999995</v>
      </c>
      <c r="J34" s="476">
        <v>170374.734</v>
      </c>
      <c r="K34" s="476">
        <v>62234.804700000001</v>
      </c>
      <c r="L34" s="476">
        <v>21486.623</v>
      </c>
      <c r="M34" s="476">
        <v>18112.773399999998</v>
      </c>
      <c r="N34" s="482">
        <f t="shared" si="2"/>
        <v>368893.3492</v>
      </c>
      <c r="O34" s="627">
        <v>5</v>
      </c>
      <c r="P34" s="634">
        <v>0.22926865977477023</v>
      </c>
      <c r="Q34" s="634">
        <v>0.25</v>
      </c>
      <c r="R34" s="634">
        <v>0.25</v>
      </c>
      <c r="S34" s="634">
        <v>4.9700000000000001E-2</v>
      </c>
      <c r="T34" s="634">
        <v>4.9700000000000001E-2</v>
      </c>
    </row>
    <row r="35" spans="1:22">
      <c r="A35" s="627">
        <v>6</v>
      </c>
      <c r="B35" s="637">
        <v>1.2976934738575625</v>
      </c>
      <c r="C35" s="637">
        <v>1.3380749563294383</v>
      </c>
      <c r="D35" s="637">
        <v>1.2178198462870407</v>
      </c>
      <c r="E35" s="637">
        <v>1.2758820346784405</v>
      </c>
      <c r="F35" s="637">
        <v>1.2349365007955633</v>
      </c>
      <c r="H35" s="627">
        <v>6</v>
      </c>
      <c r="I35" s="476">
        <v>99886.63</v>
      </c>
      <c r="J35" s="476">
        <v>171800.141</v>
      </c>
      <c r="K35" s="476">
        <v>62204.5</v>
      </c>
      <c r="L35" s="476">
        <v>23281.0488</v>
      </c>
      <c r="M35" s="476">
        <v>19280.597699999998</v>
      </c>
      <c r="N35" s="482">
        <f t="shared" si="2"/>
        <v>376452.91749999998</v>
      </c>
      <c r="O35" s="627">
        <v>6</v>
      </c>
      <c r="P35" s="634">
        <v>0.22926865977477023</v>
      </c>
      <c r="Q35" s="634">
        <v>0.25</v>
      </c>
      <c r="R35" s="634">
        <v>0.25</v>
      </c>
      <c r="S35" s="634">
        <v>4.9700000000000001E-2</v>
      </c>
      <c r="T35" s="634">
        <v>4.9700000000000001E-2</v>
      </c>
    </row>
    <row r="36" spans="1:22">
      <c r="A36" s="627">
        <v>7</v>
      </c>
      <c r="B36" s="637">
        <v>1.1316544323714051</v>
      </c>
      <c r="C36" s="637">
        <v>1.115947541605864</v>
      </c>
      <c r="D36" s="637">
        <v>1.0423769582095253</v>
      </c>
      <c r="E36" s="637">
        <v>1.0981900500525825</v>
      </c>
      <c r="F36" s="637">
        <v>1.0000751066280031</v>
      </c>
      <c r="H36" s="627">
        <v>7</v>
      </c>
      <c r="I36" s="476">
        <v>94792.335900000005</v>
      </c>
      <c r="J36" s="476">
        <v>151934.891</v>
      </c>
      <c r="K36" s="476">
        <v>58821.707000000002</v>
      </c>
      <c r="L36" s="476">
        <v>22667.1855</v>
      </c>
      <c r="M36" s="476">
        <v>19153.5039</v>
      </c>
      <c r="N36" s="482">
        <f t="shared" si="2"/>
        <v>347369.62330000004</v>
      </c>
      <c r="O36" s="627">
        <v>7</v>
      </c>
      <c r="P36" s="634">
        <v>0.22926865977477023</v>
      </c>
      <c r="Q36" s="634">
        <v>0.25</v>
      </c>
      <c r="R36" s="634">
        <v>0.25</v>
      </c>
      <c r="S36" s="634">
        <v>4.9700000000000001E-2</v>
      </c>
      <c r="T36" s="634">
        <v>4.9700000000000001E-2</v>
      </c>
    </row>
    <row r="37" spans="1:22">
      <c r="A37" s="627">
        <v>8</v>
      </c>
      <c r="B37" s="637">
        <v>1.0204920383375395</v>
      </c>
      <c r="C37" s="637">
        <v>1.0070354673610415</v>
      </c>
      <c r="D37" s="637">
        <v>0.96387114602671553</v>
      </c>
      <c r="E37" s="637">
        <v>0.99014403438176402</v>
      </c>
      <c r="F37" s="637">
        <v>0.96876065806866141</v>
      </c>
      <c r="H37" s="627">
        <v>8</v>
      </c>
      <c r="I37" s="476">
        <v>85425.03</v>
      </c>
      <c r="J37" s="476">
        <v>136807.70000000001</v>
      </c>
      <c r="K37" s="476">
        <v>54417.5</v>
      </c>
      <c r="L37" s="476">
        <v>20852.166000000001</v>
      </c>
      <c r="M37" s="476">
        <v>18776.3652</v>
      </c>
      <c r="N37" s="482">
        <f t="shared" si="2"/>
        <v>316278.76120000001</v>
      </c>
      <c r="O37" s="627">
        <v>8</v>
      </c>
      <c r="P37" s="634">
        <v>0.22926865977477023</v>
      </c>
      <c r="Q37" s="634">
        <v>0.25</v>
      </c>
      <c r="R37" s="634">
        <v>0.25</v>
      </c>
      <c r="S37" s="634">
        <v>4.9700000000000001E-2</v>
      </c>
      <c r="T37" s="634">
        <v>4.9700000000000001E-2</v>
      </c>
      <c r="V37" s="638"/>
    </row>
    <row r="38" spans="1:22">
      <c r="A38" s="627">
        <v>9</v>
      </c>
      <c r="B38" s="637">
        <v>0.7227859008970513</v>
      </c>
      <c r="C38" s="637">
        <v>0.68429298356968604</v>
      </c>
      <c r="D38" s="637">
        <v>0.74934207814253928</v>
      </c>
      <c r="E38" s="637">
        <v>0.70705578504842825</v>
      </c>
      <c r="F38" s="637">
        <v>0.75392230311943642</v>
      </c>
      <c r="H38" s="627">
        <v>9</v>
      </c>
      <c r="I38" s="482">
        <v>54594.847699999998</v>
      </c>
      <c r="J38" s="476">
        <v>89336.25</v>
      </c>
      <c r="K38" s="476">
        <v>40902.75</v>
      </c>
      <c r="L38" s="476">
        <v>14369.512699999999</v>
      </c>
      <c r="M38" s="476">
        <v>14131.106400000001</v>
      </c>
      <c r="N38" s="482">
        <f t="shared" si="2"/>
        <v>213334.46679999997</v>
      </c>
      <c r="O38" s="627">
        <v>9</v>
      </c>
      <c r="P38" s="634">
        <v>0.21466820118278646</v>
      </c>
      <c r="Q38" s="634">
        <v>0.25</v>
      </c>
      <c r="R38" s="634">
        <v>0.25</v>
      </c>
      <c r="S38" s="634">
        <v>4.9700000000000001E-2</v>
      </c>
      <c r="T38" s="634">
        <v>4.9700000000000001E-2</v>
      </c>
    </row>
    <row r="39" spans="1:22">
      <c r="A39" s="627">
        <v>10</v>
      </c>
      <c r="B39" s="637">
        <v>0.7078116363446646</v>
      </c>
      <c r="C39" s="637">
        <v>0.67778543366207666</v>
      </c>
      <c r="D39" s="637">
        <v>0.74578519696108425</v>
      </c>
      <c r="E39" s="637">
        <v>0.70147994531336466</v>
      </c>
      <c r="F39" s="637">
        <v>0.7489291788814938</v>
      </c>
      <c r="H39" s="627">
        <v>10</v>
      </c>
      <c r="I39" s="482">
        <v>54997.22</v>
      </c>
      <c r="J39" s="476">
        <v>90893.55</v>
      </c>
      <c r="K39" s="476">
        <v>41868.6</v>
      </c>
      <c r="L39" s="476">
        <v>14660.377</v>
      </c>
      <c r="M39" s="476">
        <v>14449.151400000001</v>
      </c>
      <c r="N39" s="482">
        <f t="shared" si="2"/>
        <v>216868.89840000003</v>
      </c>
      <c r="O39" s="627">
        <v>10</v>
      </c>
      <c r="P39" s="634">
        <v>0.21466820118278646</v>
      </c>
      <c r="Q39" s="634">
        <v>0.25</v>
      </c>
      <c r="R39" s="634">
        <v>0.25</v>
      </c>
      <c r="S39" s="634">
        <v>4.9700000000000001E-2</v>
      </c>
      <c r="T39" s="634">
        <v>4.9700000000000001E-2</v>
      </c>
    </row>
    <row r="40" spans="1:22">
      <c r="A40" s="627">
        <v>11</v>
      </c>
      <c r="B40" s="637">
        <v>0.92811625311798573</v>
      </c>
      <c r="C40" s="637">
        <v>0.91603404158592172</v>
      </c>
      <c r="D40" s="637">
        <v>0.97174450442655047</v>
      </c>
      <c r="E40" s="637">
        <v>0.96993016429158896</v>
      </c>
      <c r="F40" s="637">
        <v>1.0131675093344978</v>
      </c>
      <c r="H40" s="627">
        <v>11</v>
      </c>
      <c r="I40" s="482">
        <v>69775.34</v>
      </c>
      <c r="J40" s="476">
        <v>118981.57</v>
      </c>
      <c r="K40" s="476">
        <v>52704.593800000002</v>
      </c>
      <c r="L40" s="476">
        <v>19176.150000000001</v>
      </c>
      <c r="M40" s="476">
        <v>18715.1816</v>
      </c>
      <c r="N40" s="482">
        <f t="shared" si="2"/>
        <v>279352.83539999998</v>
      </c>
      <c r="O40" s="627">
        <v>11</v>
      </c>
      <c r="P40" s="634">
        <v>0.21466820118278646</v>
      </c>
      <c r="Q40" s="634">
        <v>0.25</v>
      </c>
      <c r="R40" s="634">
        <v>0.25</v>
      </c>
      <c r="S40" s="634">
        <v>4.9700000000000001E-2</v>
      </c>
      <c r="T40" s="634">
        <v>4.9700000000000001E-2</v>
      </c>
    </row>
    <row r="41" spans="1:22">
      <c r="A41" s="635">
        <v>12</v>
      </c>
      <c r="B41" s="636">
        <v>0.98151254589006776</v>
      </c>
      <c r="C41" s="636">
        <v>0.9656074176577466</v>
      </c>
      <c r="D41" s="636">
        <v>1.0198748580718511</v>
      </c>
      <c r="E41" s="636">
        <v>1.0393710940610954</v>
      </c>
      <c r="F41" s="636">
        <v>1.0753948329519589</v>
      </c>
      <c r="H41" s="635">
        <v>12</v>
      </c>
      <c r="I41" s="483">
        <v>40423.453099999999</v>
      </c>
      <c r="J41" s="484">
        <v>129267.539</v>
      </c>
      <c r="K41" s="484">
        <v>57087.906300000002</v>
      </c>
      <c r="L41" s="484">
        <v>20186.6875</v>
      </c>
      <c r="M41" s="484">
        <v>19408.82</v>
      </c>
      <c r="N41" s="483">
        <f t="shared" si="2"/>
        <v>266374.40590000001</v>
      </c>
      <c r="O41" s="635">
        <v>12</v>
      </c>
      <c r="P41" s="634">
        <v>0.11538508275729634</v>
      </c>
      <c r="Q41" s="634">
        <v>0.25</v>
      </c>
      <c r="R41" s="634">
        <v>0.25</v>
      </c>
      <c r="S41" s="634">
        <v>4.9700000000000001E-2</v>
      </c>
      <c r="T41" s="634">
        <v>4.9700000000000001E-2</v>
      </c>
    </row>
    <row r="42" spans="1:22">
      <c r="A42" s="627">
        <v>13</v>
      </c>
      <c r="B42" s="633">
        <v>0.63584962911522858</v>
      </c>
      <c r="C42" s="633">
        <v>0.5715266749416178</v>
      </c>
      <c r="D42" s="633">
        <v>0.4883523331175631</v>
      </c>
      <c r="E42" s="633">
        <v>0.54932572518278033</v>
      </c>
      <c r="F42" s="633">
        <v>0.55036873484062254</v>
      </c>
      <c r="H42" s="627" t="s">
        <v>55</v>
      </c>
      <c r="I42" s="482">
        <f t="shared" ref="I42:N42" si="3">SUM(I30:I41)</f>
        <v>769689.94440000004</v>
      </c>
      <c r="J42" s="482">
        <f t="shared" si="3"/>
        <v>1575658.1560000002</v>
      </c>
      <c r="K42" s="482">
        <f t="shared" si="3"/>
        <v>645492.72620000003</v>
      </c>
      <c r="L42" s="482">
        <f t="shared" si="3"/>
        <v>163232.19952999998</v>
      </c>
      <c r="M42" s="482">
        <f t="shared" si="3"/>
        <v>147943.64811000001</v>
      </c>
      <c r="N42" s="482">
        <f t="shared" si="3"/>
        <v>3302016.6742400001</v>
      </c>
      <c r="O42" s="627" t="s">
        <v>243</v>
      </c>
      <c r="P42" s="204">
        <f>AVERAGE(P30:P41)</f>
        <v>0.18284665068542136</v>
      </c>
      <c r="Q42" s="204">
        <f>AVERAGE(Q30:Q41)</f>
        <v>0.25</v>
      </c>
      <c r="R42" s="204">
        <f>AVERAGE(R30:R41)</f>
        <v>0.25</v>
      </c>
      <c r="S42" s="204">
        <f>AVERAGE(S30:S41)</f>
        <v>3.5266666666666675E-2</v>
      </c>
      <c r="T42" s="204">
        <f>AVERAGE(T30:T41)</f>
        <v>3.5266666666666675E-2</v>
      </c>
    </row>
    <row r="43" spans="1:22">
      <c r="I43" s="481"/>
      <c r="J43" s="481"/>
      <c r="K43" s="481"/>
      <c r="L43" s="481"/>
      <c r="M43" s="481"/>
      <c r="N43" s="481"/>
      <c r="O43" s="614" t="s">
        <v>244</v>
      </c>
    </row>
    <row r="44" spans="1:22">
      <c r="B44" s="632"/>
      <c r="I44" s="481"/>
      <c r="J44" s="481"/>
      <c r="K44" s="481"/>
      <c r="L44" s="481"/>
      <c r="M44" s="481"/>
      <c r="N44" s="481"/>
    </row>
    <row r="45" spans="1:22">
      <c r="B45" s="631"/>
      <c r="I45" s="481"/>
      <c r="J45" s="481"/>
      <c r="K45" s="481"/>
      <c r="L45" s="481"/>
      <c r="M45" s="481"/>
      <c r="N45" s="481"/>
    </row>
    <row r="46" spans="1:22">
      <c r="H46" s="629"/>
      <c r="I46" s="629"/>
      <c r="J46" s="629"/>
      <c r="K46" s="629"/>
      <c r="L46" s="629"/>
      <c r="M46" s="629"/>
      <c r="N46" s="630"/>
      <c r="O46" s="629"/>
    </row>
    <row r="47" spans="1:22">
      <c r="H47" s="628" t="s">
        <v>281</v>
      </c>
      <c r="I47" s="627">
        <v>1</v>
      </c>
      <c r="J47" s="627">
        <v>2</v>
      </c>
      <c r="K47" s="627">
        <v>3</v>
      </c>
      <c r="L47" s="627">
        <v>4</v>
      </c>
      <c r="M47" s="627">
        <v>5</v>
      </c>
      <c r="N47" s="627">
        <v>6</v>
      </c>
      <c r="O47" s="627">
        <v>7</v>
      </c>
      <c r="P47" s="627">
        <v>8</v>
      </c>
      <c r="Q47" s="627">
        <v>9</v>
      </c>
      <c r="R47" s="627">
        <v>10</v>
      </c>
      <c r="S47" s="627">
        <v>11</v>
      </c>
      <c r="T47" s="626">
        <v>12</v>
      </c>
    </row>
    <row r="48" spans="1:22">
      <c r="H48" s="619" t="s">
        <v>500</v>
      </c>
      <c r="I48" s="625">
        <f t="array" ref="I48:T48">TRANSPOSE(K9:K20)</f>
        <v>61138.2</v>
      </c>
      <c r="J48" s="624">
        <v>50843.1</v>
      </c>
      <c r="K48" s="624">
        <v>54116.7</v>
      </c>
      <c r="L48" s="624">
        <v>59207.625</v>
      </c>
      <c r="M48" s="624">
        <v>73842</v>
      </c>
      <c r="N48" s="624">
        <v>65630.25</v>
      </c>
      <c r="O48" s="624">
        <v>58875.974999999999</v>
      </c>
      <c r="P48" s="624">
        <v>53935.275000000001</v>
      </c>
      <c r="Q48" s="624">
        <v>35856</v>
      </c>
      <c r="R48" s="624">
        <v>39829.574999999997</v>
      </c>
      <c r="S48" s="624">
        <v>49434.75</v>
      </c>
      <c r="T48" s="623">
        <v>57929.7</v>
      </c>
    </row>
    <row r="49" spans="2:20">
      <c r="H49" s="619" t="s">
        <v>499</v>
      </c>
      <c r="I49" s="622">
        <f t="array" ref="I49:T49">TRANSPOSE(J9:J20)</f>
        <v>136249.65</v>
      </c>
      <c r="J49" s="621">
        <v>112478.1</v>
      </c>
      <c r="K49" s="621">
        <v>119086.5</v>
      </c>
      <c r="L49" s="621">
        <v>137418.75</v>
      </c>
      <c r="M49" s="621">
        <v>182277.67499999999</v>
      </c>
      <c r="N49" s="621">
        <v>167031.00000000003</v>
      </c>
      <c r="O49" s="621">
        <v>150136.875</v>
      </c>
      <c r="P49" s="621">
        <v>130571.625</v>
      </c>
      <c r="Q49" s="621">
        <v>76871.25</v>
      </c>
      <c r="R49" s="621">
        <v>85936.65</v>
      </c>
      <c r="S49" s="621">
        <v>108123.75</v>
      </c>
      <c r="T49" s="620">
        <v>128216.77499999999</v>
      </c>
    </row>
    <row r="50" spans="2:20">
      <c r="H50" s="619" t="s">
        <v>236</v>
      </c>
      <c r="I50" s="622">
        <f t="array" ref="I50:T50">TRANSPOSE(I9:I20)</f>
        <v>116097.09405</v>
      </c>
      <c r="J50" s="621">
        <v>96538.721999999994</v>
      </c>
      <c r="K50" s="621">
        <v>102239.9406</v>
      </c>
      <c r="L50" s="621">
        <v>110965.27995</v>
      </c>
      <c r="M50" s="621">
        <v>138129.55106999999</v>
      </c>
      <c r="N50" s="621">
        <v>130477.9203</v>
      </c>
      <c r="O50" s="621">
        <v>125567.77043999999</v>
      </c>
      <c r="P50" s="621">
        <v>112324.13913</v>
      </c>
      <c r="Q50" s="621">
        <v>79410.384900000005</v>
      </c>
      <c r="R50" s="621">
        <v>87254.227499999994</v>
      </c>
      <c r="S50" s="621">
        <v>109411.99829999999</v>
      </c>
      <c r="T50" s="620">
        <v>99288.203370000003</v>
      </c>
    </row>
    <row r="51" spans="2:20">
      <c r="H51" s="619" t="s">
        <v>498</v>
      </c>
      <c r="I51" s="622">
        <f t="array" ref="I51:T51">TRANSPOSE(M9:M20)</f>
        <v>2835.4732800000002</v>
      </c>
      <c r="J51" s="621">
        <v>2372.3212800000001</v>
      </c>
      <c r="K51" s="621">
        <v>2502.8755200000001</v>
      </c>
      <c r="L51" s="621">
        <v>2514.5856000000003</v>
      </c>
      <c r="M51" s="621">
        <v>3000.5222399999998</v>
      </c>
      <c r="N51" s="621">
        <v>2812.4928</v>
      </c>
      <c r="O51" s="621">
        <v>2698.2796800000001</v>
      </c>
      <c r="P51" s="621">
        <v>2281.6320000000001</v>
      </c>
      <c r="Q51" s="621">
        <v>1664.4672</v>
      </c>
      <c r="R51" s="621">
        <v>1859.2857600000002</v>
      </c>
      <c r="S51" s="621">
        <v>2348.1792</v>
      </c>
      <c r="T51" s="620">
        <v>2771.7868800000001</v>
      </c>
    </row>
    <row r="52" spans="2:20">
      <c r="H52" s="619" t="s">
        <v>239</v>
      </c>
      <c r="I52" s="618">
        <f t="array" ref="I52:T52">TRANSPOSE(L9:L20)</f>
        <v>2969.0361600000001</v>
      </c>
      <c r="J52" s="617">
        <v>2470.5408000000002</v>
      </c>
      <c r="K52" s="617">
        <v>2633.2838400000001</v>
      </c>
      <c r="L52" s="617">
        <v>2777.2128000000002</v>
      </c>
      <c r="M52" s="617">
        <v>3316.1568000000002</v>
      </c>
      <c r="N52" s="617">
        <v>3138.7392</v>
      </c>
      <c r="O52" s="617">
        <v>3017.7830399999998</v>
      </c>
      <c r="P52" s="617">
        <v>2697.8361600000003</v>
      </c>
      <c r="Q52" s="617">
        <v>1638.8352</v>
      </c>
      <c r="R52" s="617">
        <v>1839.9417600000002</v>
      </c>
      <c r="S52" s="617">
        <v>2403.4176000000002</v>
      </c>
      <c r="T52" s="616">
        <v>2875.53024</v>
      </c>
    </row>
    <row r="53" spans="2:20">
      <c r="T53" s="629"/>
    </row>
    <row r="54" spans="2:20">
      <c r="H54" s="628" t="s">
        <v>492</v>
      </c>
      <c r="I54" s="627">
        <v>1</v>
      </c>
      <c r="J54" s="627">
        <v>2</v>
      </c>
      <c r="K54" s="627">
        <v>3</v>
      </c>
      <c r="L54" s="627">
        <v>4</v>
      </c>
      <c r="M54" s="627">
        <v>5</v>
      </c>
      <c r="N54" s="627">
        <v>6</v>
      </c>
      <c r="O54" s="627">
        <v>7</v>
      </c>
      <c r="P54" s="627">
        <v>8</v>
      </c>
      <c r="Q54" s="627">
        <v>9</v>
      </c>
      <c r="R54" s="627">
        <v>10</v>
      </c>
      <c r="S54" s="627">
        <v>11</v>
      </c>
      <c r="T54" s="626">
        <v>12</v>
      </c>
    </row>
    <row r="55" spans="2:20">
      <c r="H55" s="619" t="s">
        <v>500</v>
      </c>
      <c r="I55" s="625">
        <f t="array" ref="I55:T55">TRANSPOSE(K30:K41)</f>
        <v>60540.94</v>
      </c>
      <c r="J55" s="624">
        <v>52857.19</v>
      </c>
      <c r="K55" s="624">
        <v>50603.816400000003</v>
      </c>
      <c r="L55" s="624">
        <v>51248.417999999998</v>
      </c>
      <c r="M55" s="624">
        <v>62234.804700000001</v>
      </c>
      <c r="N55" s="624">
        <v>62204.5</v>
      </c>
      <c r="O55" s="624">
        <v>58821.707000000002</v>
      </c>
      <c r="P55" s="624">
        <v>54417.5</v>
      </c>
      <c r="Q55" s="624">
        <v>40902.75</v>
      </c>
      <c r="R55" s="624">
        <v>41868.6</v>
      </c>
      <c r="S55" s="624">
        <v>52704.593800000002</v>
      </c>
      <c r="T55" s="623">
        <v>57087.906300000002</v>
      </c>
    </row>
    <row r="56" spans="2:20">
      <c r="H56" s="619" t="s">
        <v>499</v>
      </c>
      <c r="I56" s="622">
        <f t="array" ref="I56:T56">TRANSPOSE(J30:J42)</f>
        <v>147919.359</v>
      </c>
      <c r="J56" s="621">
        <v>125463.56299999999</v>
      </c>
      <c r="K56" s="621">
        <v>116105</v>
      </c>
      <c r="L56" s="621">
        <v>126773.859</v>
      </c>
      <c r="M56" s="621">
        <v>170374.734</v>
      </c>
      <c r="N56" s="621">
        <v>171800.141</v>
      </c>
      <c r="O56" s="621">
        <v>151934.891</v>
      </c>
      <c r="P56" s="621">
        <v>136807.70000000001</v>
      </c>
      <c r="Q56" s="621">
        <v>89336.25</v>
      </c>
      <c r="R56" s="621">
        <v>90893.55</v>
      </c>
      <c r="S56" s="621">
        <v>118981.57</v>
      </c>
      <c r="T56" s="620">
        <v>129267.539</v>
      </c>
    </row>
    <row r="57" spans="2:20">
      <c r="H57" s="619" t="s">
        <v>236</v>
      </c>
      <c r="I57" s="622">
        <f t="array" ref="I57:T57">TRANSPOSE(I30:I41)</f>
        <v>30438.353500000001</v>
      </c>
      <c r="J57" s="621">
        <v>26502.337899999999</v>
      </c>
      <c r="K57" s="621">
        <v>55022.99</v>
      </c>
      <c r="L57" s="621">
        <v>61146.992200000001</v>
      </c>
      <c r="M57" s="621">
        <v>96684.414099999995</v>
      </c>
      <c r="N57" s="621">
        <v>99886.63</v>
      </c>
      <c r="O57" s="621">
        <v>94792.335900000005</v>
      </c>
      <c r="P57" s="621">
        <v>85425.03</v>
      </c>
      <c r="Q57" s="621">
        <v>54594.847699999998</v>
      </c>
      <c r="R57" s="621">
        <v>54997.22</v>
      </c>
      <c r="S57" s="621">
        <v>69775.34</v>
      </c>
      <c r="T57" s="620">
        <v>40423.453099999999</v>
      </c>
    </row>
    <row r="58" spans="2:20">
      <c r="B58" s="615"/>
      <c r="C58" s="615"/>
      <c r="D58" s="615"/>
      <c r="E58" s="615"/>
      <c r="F58" s="615"/>
      <c r="H58" s="619" t="s">
        <v>498</v>
      </c>
      <c r="I58" s="622">
        <f t="array" ref="I58:T58">TRANSPOSE(M30:M41)</f>
        <v>1263.43</v>
      </c>
      <c r="J58" s="621">
        <v>1005.49854</v>
      </c>
      <c r="K58" s="621">
        <v>1793.2737999999999</v>
      </c>
      <c r="L58" s="621">
        <v>1853.9461699999999</v>
      </c>
      <c r="M58" s="621">
        <v>18112.773399999998</v>
      </c>
      <c r="N58" s="621">
        <v>19280.597699999998</v>
      </c>
      <c r="O58" s="621">
        <v>19153.5039</v>
      </c>
      <c r="P58" s="621">
        <v>18776.3652</v>
      </c>
      <c r="Q58" s="621">
        <v>14131.106400000001</v>
      </c>
      <c r="R58" s="621">
        <v>14449.151400000001</v>
      </c>
      <c r="S58" s="621">
        <v>18715.1816</v>
      </c>
      <c r="T58" s="620">
        <v>19408.82</v>
      </c>
    </row>
    <row r="59" spans="2:20">
      <c r="B59" s="615"/>
      <c r="C59" s="615"/>
      <c r="D59" s="615"/>
      <c r="E59" s="615"/>
      <c r="F59" s="615"/>
      <c r="H59" s="619" t="s">
        <v>239</v>
      </c>
      <c r="I59" s="618">
        <f t="array" ref="I59:T59">TRANSPOSE(L30:L41)</f>
        <v>1419.2916299999999</v>
      </c>
      <c r="J59" s="617">
        <v>1193.8843999999999</v>
      </c>
      <c r="K59" s="617">
        <v>1872.3589999999999</v>
      </c>
      <c r="L59" s="617">
        <v>2066.9140000000002</v>
      </c>
      <c r="M59" s="617">
        <v>21486.623</v>
      </c>
      <c r="N59" s="617">
        <v>23281.0488</v>
      </c>
      <c r="O59" s="617">
        <v>22667.1855</v>
      </c>
      <c r="P59" s="617">
        <v>20852.166000000001</v>
      </c>
      <c r="Q59" s="617">
        <v>14369.512699999999</v>
      </c>
      <c r="R59" s="617">
        <v>14660.377</v>
      </c>
      <c r="S59" s="617">
        <v>19176.150000000001</v>
      </c>
      <c r="T59" s="616">
        <v>20186.6875</v>
      </c>
    </row>
    <row r="60" spans="2:20">
      <c r="B60" s="615"/>
      <c r="C60" s="615"/>
      <c r="D60" s="615"/>
      <c r="E60" s="615"/>
      <c r="F60" s="615"/>
    </row>
    <row r="61" spans="2:20">
      <c r="B61" s="615"/>
      <c r="C61" s="615"/>
      <c r="D61" s="615"/>
      <c r="E61" s="615"/>
      <c r="F61" s="615"/>
    </row>
    <row r="62" spans="2:20">
      <c r="B62" s="615"/>
      <c r="C62" s="615"/>
      <c r="D62" s="615"/>
      <c r="E62" s="615"/>
      <c r="F62" s="615"/>
    </row>
    <row r="63" spans="2:20">
      <c r="B63" s="615"/>
      <c r="C63" s="615"/>
      <c r="D63" s="615"/>
      <c r="E63" s="615"/>
      <c r="F63" s="615"/>
    </row>
    <row r="64" spans="2:20">
      <c r="B64" s="615"/>
      <c r="C64" s="615"/>
      <c r="D64" s="615"/>
      <c r="E64" s="615"/>
      <c r="F64" s="615"/>
    </row>
    <row r="65" spans="2:6">
      <c r="B65" s="615"/>
      <c r="C65" s="615"/>
      <c r="D65" s="615"/>
      <c r="E65" s="615"/>
      <c r="F65" s="615"/>
    </row>
    <row r="66" spans="2:6">
      <c r="B66" s="615"/>
      <c r="C66" s="615"/>
      <c r="D66" s="615"/>
      <c r="E66" s="615"/>
      <c r="F66" s="615"/>
    </row>
    <row r="67" spans="2:6">
      <c r="B67" s="615"/>
      <c r="C67" s="615"/>
      <c r="D67" s="615"/>
      <c r="E67" s="615"/>
      <c r="F67" s="615"/>
    </row>
    <row r="68" spans="2:6">
      <c r="B68" s="615"/>
      <c r="C68" s="615"/>
      <c r="D68" s="615"/>
      <c r="E68" s="615"/>
      <c r="F68" s="615"/>
    </row>
    <row r="69" spans="2:6">
      <c r="B69" s="615"/>
      <c r="C69" s="615"/>
      <c r="D69" s="615"/>
      <c r="E69" s="615"/>
      <c r="F69" s="615"/>
    </row>
    <row r="70" spans="2:6">
      <c r="B70" s="615"/>
      <c r="C70" s="615"/>
      <c r="D70" s="615"/>
      <c r="E70" s="615"/>
      <c r="F70" s="615"/>
    </row>
    <row r="71" spans="2:6">
      <c r="B71" s="615"/>
      <c r="C71" s="615"/>
      <c r="D71" s="615"/>
      <c r="E71" s="615"/>
      <c r="F71" s="615"/>
    </row>
  </sheetData>
  <pageMargins left="0.7" right="0.7" top="0.75" bottom="0.75" header="0.3" footer="0.3"/>
  <customProperties>
    <customPr name="_pios_i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2:M28"/>
  <sheetViews>
    <sheetView workbookViewId="0">
      <selection activeCell="M26" sqref="M26"/>
    </sheetView>
  </sheetViews>
  <sheetFormatPr defaultRowHeight="12.75"/>
  <cols>
    <col min="1" max="1" width="23.5703125" bestFit="1" customWidth="1"/>
    <col min="2" max="2" width="12.42578125" bestFit="1" customWidth="1"/>
    <col min="3" max="13" width="10" bestFit="1" customWidth="1"/>
  </cols>
  <sheetData>
    <row r="2" spans="1:13">
      <c r="A2" s="206" t="s">
        <v>506</v>
      </c>
    </row>
    <row r="5" spans="1:13">
      <c r="A5" s="207" t="s">
        <v>505</v>
      </c>
    </row>
    <row r="6" spans="1:13">
      <c r="B6" s="206" t="s">
        <v>151</v>
      </c>
      <c r="C6" s="206" t="s">
        <v>152</v>
      </c>
      <c r="D6" s="206" t="s">
        <v>153</v>
      </c>
      <c r="E6" s="206" t="s">
        <v>154</v>
      </c>
      <c r="F6" s="206" t="s">
        <v>155</v>
      </c>
      <c r="G6" s="206" t="s">
        <v>156</v>
      </c>
      <c r="H6" s="206" t="s">
        <v>157</v>
      </c>
      <c r="I6" s="206" t="s">
        <v>158</v>
      </c>
      <c r="J6" s="206" t="s">
        <v>159</v>
      </c>
      <c r="K6" s="206" t="s">
        <v>160</v>
      </c>
      <c r="L6" s="206" t="s">
        <v>161</v>
      </c>
      <c r="M6" s="206" t="s">
        <v>162</v>
      </c>
    </row>
    <row r="7" spans="1:13">
      <c r="A7" s="169" t="s">
        <v>126</v>
      </c>
      <c r="B7" s="170">
        <v>42848.874265324121</v>
      </c>
      <c r="C7" s="170">
        <v>28745.012830029355</v>
      </c>
      <c r="D7" s="170">
        <v>56102.026598172553</v>
      </c>
      <c r="E7" s="170">
        <v>33356.751648554316</v>
      </c>
      <c r="F7" s="170">
        <v>42535.455122317573</v>
      </c>
      <c r="G7" s="170">
        <v>35685.008139460115</v>
      </c>
      <c r="H7" s="170">
        <v>37655.071324072727</v>
      </c>
      <c r="I7" s="170">
        <v>30580.753524782009</v>
      </c>
      <c r="J7" s="170">
        <v>33894.041607994121</v>
      </c>
      <c r="K7" s="170">
        <v>31834.430096808213</v>
      </c>
      <c r="L7" s="170">
        <v>34923.847363587061</v>
      </c>
      <c r="M7" s="170">
        <v>39669.908671971971</v>
      </c>
    </row>
    <row r="8" spans="1:13">
      <c r="A8" s="93" t="s">
        <v>127</v>
      </c>
      <c r="B8" s="170">
        <v>90434.228524137914</v>
      </c>
      <c r="C8" s="170">
        <v>58046.573268965491</v>
      </c>
      <c r="D8" s="170">
        <v>94381.754372413779</v>
      </c>
      <c r="E8" s="170">
        <v>86217.553186206875</v>
      </c>
      <c r="F8" s="170">
        <v>82718.609820689642</v>
      </c>
      <c r="G8" s="170">
        <v>81911.161351724149</v>
      </c>
      <c r="H8" s="170">
        <v>67915.387889655176</v>
      </c>
      <c r="I8" s="170">
        <v>71145.18176551722</v>
      </c>
      <c r="J8" s="170">
        <v>61724.949627586175</v>
      </c>
      <c r="K8" s="170">
        <v>62442.681599999982</v>
      </c>
      <c r="L8" s="170">
        <v>58943.738234482749</v>
      </c>
      <c r="M8" s="170">
        <v>81731.728358620676</v>
      </c>
    </row>
    <row r="9" spans="1:13">
      <c r="A9" s="169" t="s">
        <v>128</v>
      </c>
      <c r="B9" s="170">
        <v>67138.388405121892</v>
      </c>
      <c r="C9" s="170">
        <v>58358.397320007796</v>
      </c>
      <c r="D9" s="170">
        <v>60281.787833113951</v>
      </c>
      <c r="E9" s="170">
        <v>61406.757746910807</v>
      </c>
      <c r="F9" s="170">
        <v>63197.950641883181</v>
      </c>
      <c r="G9" s="170">
        <v>61159.288926881221</v>
      </c>
      <c r="H9" s="170">
        <v>57217.231393212955</v>
      </c>
      <c r="I9" s="170">
        <v>56664.200324254751</v>
      </c>
      <c r="J9" s="170">
        <v>41335.479119715412</v>
      </c>
      <c r="K9" s="170">
        <v>59281.10532056087</v>
      </c>
      <c r="L9" s="170">
        <v>61702.358469281193</v>
      </c>
      <c r="M9" s="170">
        <v>48720.843875545834</v>
      </c>
    </row>
    <row r="10" spans="1:13">
      <c r="A10" s="169" t="s">
        <v>129</v>
      </c>
      <c r="B10" s="170">
        <v>8793.8982458799801</v>
      </c>
      <c r="C10" s="170">
        <v>8391.6445005886872</v>
      </c>
      <c r="D10" s="170">
        <v>11733.926469110369</v>
      </c>
      <c r="E10" s="170">
        <v>13568.047232408824</v>
      </c>
      <c r="F10" s="170">
        <v>16805.206930397144</v>
      </c>
      <c r="G10" s="170">
        <v>18141.783128433777</v>
      </c>
      <c r="H10" s="170">
        <v>19579.651470792905</v>
      </c>
      <c r="I10" s="170">
        <v>18148.251388122004</v>
      </c>
      <c r="J10" s="170">
        <v>13930.187678710206</v>
      </c>
      <c r="K10" s="170">
        <v>12403.97811127453</v>
      </c>
      <c r="L10" s="170">
        <v>8495.8444697323994</v>
      </c>
      <c r="M10" s="170">
        <v>9402.4159740158011</v>
      </c>
    </row>
    <row r="13" spans="1:13">
      <c r="A13" s="207" t="s">
        <v>504</v>
      </c>
    </row>
    <row r="14" spans="1:13">
      <c r="B14" s="206" t="s">
        <v>151</v>
      </c>
      <c r="C14" s="206" t="s">
        <v>152</v>
      </c>
      <c r="D14" s="206" t="s">
        <v>153</v>
      </c>
      <c r="E14" s="206" t="s">
        <v>154</v>
      </c>
      <c r="F14" s="206" t="s">
        <v>155</v>
      </c>
      <c r="G14" s="206" t="s">
        <v>156</v>
      </c>
      <c r="H14" s="206" t="s">
        <v>157</v>
      </c>
      <c r="I14" s="206" t="s">
        <v>158</v>
      </c>
      <c r="J14" s="206" t="s">
        <v>159</v>
      </c>
      <c r="K14" s="206" t="s">
        <v>160</v>
      </c>
      <c r="L14" s="206" t="s">
        <v>161</v>
      </c>
      <c r="M14" s="206" t="s">
        <v>162</v>
      </c>
    </row>
    <row r="15" spans="1:13">
      <c r="A15" s="169" t="s">
        <v>126</v>
      </c>
      <c r="B15" s="170">
        <v>35254.1</v>
      </c>
      <c r="C15" s="170">
        <v>31223</v>
      </c>
      <c r="D15" s="170">
        <v>44491.746099999997</v>
      </c>
      <c r="E15" s="170">
        <v>41078.097699999998</v>
      </c>
      <c r="F15" s="170">
        <v>38650.699999999997</v>
      </c>
      <c r="G15" s="170">
        <v>38256.800000000003</v>
      </c>
      <c r="H15" s="170">
        <v>29124.1</v>
      </c>
      <c r="I15" s="170">
        <v>28860.5</v>
      </c>
      <c r="J15" s="170">
        <v>26780.799999999999</v>
      </c>
      <c r="K15" s="170">
        <v>30789.8</v>
      </c>
      <c r="L15" s="170">
        <v>33101.300000000003</v>
      </c>
      <c r="M15" s="170">
        <v>34900.199999999997</v>
      </c>
    </row>
    <row r="16" spans="1:13">
      <c r="A16" s="93" t="s">
        <v>127</v>
      </c>
      <c r="B16" s="170">
        <v>64025.8</v>
      </c>
      <c r="C16" s="170">
        <v>62369.3</v>
      </c>
      <c r="D16" s="170">
        <v>90770.22</v>
      </c>
      <c r="E16" s="170">
        <v>81351.100000000006</v>
      </c>
      <c r="F16" s="170">
        <v>78508.2</v>
      </c>
      <c r="G16" s="170">
        <v>78841.2</v>
      </c>
      <c r="H16" s="170">
        <v>65957.5</v>
      </c>
      <c r="I16" s="170">
        <v>65654.695300000007</v>
      </c>
      <c r="J16" s="170">
        <v>61595.199999999997</v>
      </c>
      <c r="K16" s="170">
        <v>68400.800000000003</v>
      </c>
      <c r="L16" s="170">
        <v>63729.1</v>
      </c>
      <c r="M16" s="170">
        <v>68684.7</v>
      </c>
    </row>
    <row r="17" spans="1:13">
      <c r="A17" s="169" t="s">
        <v>128</v>
      </c>
      <c r="B17" s="170">
        <v>55244.1</v>
      </c>
      <c r="C17" s="170">
        <v>49375.600000000006</v>
      </c>
      <c r="D17" s="170">
        <v>64682.493800000004</v>
      </c>
      <c r="E17" s="170">
        <v>65616.3</v>
      </c>
      <c r="F17" s="170">
        <v>65225.9</v>
      </c>
      <c r="G17" s="170">
        <v>61730.400000000001</v>
      </c>
      <c r="H17" s="170">
        <v>57152.900289999998</v>
      </c>
      <c r="I17" s="170">
        <v>51866.9</v>
      </c>
      <c r="J17" s="170">
        <v>48583.5</v>
      </c>
      <c r="K17" s="170">
        <v>55249</v>
      </c>
      <c r="L17" s="170">
        <v>53707.8</v>
      </c>
      <c r="M17" s="170">
        <v>51649.700000000004</v>
      </c>
    </row>
    <row r="18" spans="1:13">
      <c r="A18" s="169" t="s">
        <v>129</v>
      </c>
      <c r="B18" s="170">
        <v>6396.3574200000003</v>
      </c>
      <c r="C18" s="170">
        <v>7175.6113299999997</v>
      </c>
      <c r="D18" s="170">
        <v>10012.748</v>
      </c>
      <c r="E18" s="170">
        <v>14068.5947</v>
      </c>
      <c r="F18" s="170">
        <v>14571.743200000001</v>
      </c>
      <c r="G18" s="170">
        <v>16697.669999999998</v>
      </c>
      <c r="H18" s="170">
        <v>16309.481400000001</v>
      </c>
      <c r="I18" s="170">
        <v>15095.603499999999</v>
      </c>
      <c r="J18" s="170">
        <v>9843.6550000000007</v>
      </c>
      <c r="K18" s="170">
        <v>6975.3496100000002</v>
      </c>
      <c r="L18" s="170">
        <v>7334.5829999999996</v>
      </c>
      <c r="M18" s="170">
        <v>6944.8964800000003</v>
      </c>
    </row>
    <row r="24" spans="1:13"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</row>
    <row r="25" spans="1:13"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</row>
    <row r="26" spans="1:13"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</row>
    <row r="27" spans="1:13"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</row>
    <row r="28" spans="1:13"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</row>
  </sheetData>
  <pageMargins left="0.7" right="0.7" top="0.75" bottom="0.75" header="0.3" footer="0.3"/>
  <customProperties>
    <customPr name="_pios_id" r:id="rId1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2:M21"/>
  <sheetViews>
    <sheetView workbookViewId="0">
      <selection activeCell="M26" sqref="M26"/>
    </sheetView>
  </sheetViews>
  <sheetFormatPr defaultRowHeight="12.75"/>
  <cols>
    <col min="1" max="1" width="23.5703125" bestFit="1" customWidth="1"/>
    <col min="2" max="2" width="12.42578125" bestFit="1" customWidth="1"/>
    <col min="3" max="13" width="10.85546875" bestFit="1" customWidth="1"/>
  </cols>
  <sheetData>
    <row r="2" spans="1:13">
      <c r="A2" s="206" t="s">
        <v>507</v>
      </c>
    </row>
    <row r="5" spans="1:13">
      <c r="A5" s="207" t="s">
        <v>281</v>
      </c>
    </row>
    <row r="6" spans="1:13">
      <c r="B6" s="206" t="s">
        <v>151</v>
      </c>
      <c r="C6" s="206" t="s">
        <v>152</v>
      </c>
      <c r="D6" s="206" t="s">
        <v>153</v>
      </c>
      <c r="E6" s="206" t="s">
        <v>154</v>
      </c>
      <c r="F6" s="206" t="s">
        <v>155</v>
      </c>
      <c r="G6" s="206" t="s">
        <v>156</v>
      </c>
      <c r="H6" s="206" t="s">
        <v>157</v>
      </c>
      <c r="I6" s="206" t="s">
        <v>158</v>
      </c>
      <c r="J6" s="206" t="s">
        <v>159</v>
      </c>
      <c r="K6" s="206" t="s">
        <v>160</v>
      </c>
      <c r="L6" s="206" t="s">
        <v>161</v>
      </c>
      <c r="M6" s="206" t="s">
        <v>162</v>
      </c>
    </row>
    <row r="7" spans="1:13">
      <c r="A7" s="169" t="s">
        <v>185</v>
      </c>
      <c r="B7" s="170">
        <v>-15750.129999999985</v>
      </c>
      <c r="C7" s="170">
        <v>-14000.120000000004</v>
      </c>
      <c r="D7" s="170">
        <v>-15750.129999999985</v>
      </c>
      <c r="E7" s="170">
        <v>-14291.790000000017</v>
      </c>
      <c r="F7" s="170">
        <v>-15435.129999999985</v>
      </c>
      <c r="G7" s="170">
        <v>-14863.459999999983</v>
      </c>
      <c r="H7" s="170">
        <v>-14863.459999999983</v>
      </c>
      <c r="I7" s="170">
        <v>-15435.129999999985</v>
      </c>
      <c r="J7" s="170">
        <v>-9479.2469999999848</v>
      </c>
      <c r="K7" s="170">
        <v>-10237.589999999997</v>
      </c>
      <c r="L7" s="170">
        <v>-9858.4170000000086</v>
      </c>
      <c r="M7" s="170">
        <v>-9858.4170000000086</v>
      </c>
    </row>
    <row r="9" spans="1:13">
      <c r="A9" s="207" t="s">
        <v>492</v>
      </c>
    </row>
    <row r="10" spans="1:13">
      <c r="B10" s="206" t="s">
        <v>151</v>
      </c>
      <c r="C10" s="206" t="s">
        <v>152</v>
      </c>
      <c r="D10" s="206" t="s">
        <v>153</v>
      </c>
      <c r="E10" s="206" t="s">
        <v>154</v>
      </c>
      <c r="F10" s="206" t="s">
        <v>155</v>
      </c>
      <c r="G10" s="206" t="s">
        <v>156</v>
      </c>
      <c r="H10" s="206" t="s">
        <v>157</v>
      </c>
      <c r="I10" s="206" t="s">
        <v>158</v>
      </c>
      <c r="J10" s="206" t="s">
        <v>159</v>
      </c>
      <c r="K10" s="206" t="s">
        <v>160</v>
      </c>
      <c r="L10" s="206" t="s">
        <v>161</v>
      </c>
      <c r="M10" s="206" t="s">
        <v>162</v>
      </c>
    </row>
    <row r="11" spans="1:13">
      <c r="A11" s="169" t="s">
        <v>185</v>
      </c>
      <c r="B11" s="170">
        <v>-9802.6239999999998</v>
      </c>
      <c r="C11" s="170">
        <v>-9048.5759999999991</v>
      </c>
      <c r="D11" s="170">
        <v>-11664</v>
      </c>
      <c r="E11" s="170">
        <v>-11232</v>
      </c>
      <c r="F11" s="170">
        <v>-12064</v>
      </c>
      <c r="G11" s="170">
        <v>-12002.015600000001</v>
      </c>
      <c r="H11" s="170">
        <v>-12463.631799999999</v>
      </c>
      <c r="I11" s="170">
        <v>-12002.015600000001</v>
      </c>
      <c r="J11" s="170">
        <v>-11787.776400000001</v>
      </c>
      <c r="K11" s="170">
        <v>-12096</v>
      </c>
      <c r="L11" s="170">
        <v>-11334.4</v>
      </c>
      <c r="M11" s="170">
        <v>-10728.2881</v>
      </c>
    </row>
    <row r="16" spans="1:13"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</row>
    <row r="17" spans="2:13"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</row>
    <row r="18" spans="2:13"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</row>
    <row r="19" spans="2:13"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</row>
    <row r="20" spans="2:13"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</row>
    <row r="21" spans="2:13"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</row>
  </sheetData>
  <pageMargins left="0.7" right="0.7" top="0.75" bottom="0.75" header="0.3" footer="0.3"/>
  <customProperties>
    <customPr name="_pios_id" r:id="rId1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B1:W57"/>
  <sheetViews>
    <sheetView topLeftCell="A4" zoomScale="80" zoomScaleNormal="80" workbookViewId="0">
      <selection activeCell="M26" sqref="M26"/>
    </sheetView>
  </sheetViews>
  <sheetFormatPr defaultColWidth="9.140625" defaultRowHeight="15" outlineLevelRow="1"/>
  <cols>
    <col min="1" max="1" width="0.85546875" style="574" customWidth="1"/>
    <col min="2" max="2" width="40.85546875" style="574" customWidth="1"/>
    <col min="3" max="4" width="14.5703125" style="574" bestFit="1" customWidth="1"/>
    <col min="5" max="5" width="13.5703125" style="574" customWidth="1"/>
    <col min="6" max="6" width="10.5703125" style="574" bestFit="1" customWidth="1"/>
    <col min="7" max="7" width="11.5703125" style="574" customWidth="1"/>
    <col min="8" max="8" width="12.85546875" style="574" customWidth="1"/>
    <col min="9" max="9" width="12.42578125" style="574" customWidth="1"/>
    <col min="10" max="10" width="12" style="574" customWidth="1"/>
    <col min="11" max="11" width="9.85546875" style="574" bestFit="1" customWidth="1"/>
    <col min="12" max="12" width="9.85546875" style="574" customWidth="1"/>
    <col min="13" max="13" width="11.5703125" style="574" bestFit="1" customWidth="1"/>
    <col min="14" max="14" width="10.5703125" style="574" bestFit="1" customWidth="1"/>
    <col min="15" max="15" width="11.140625" style="574" customWidth="1"/>
    <col min="16" max="17" width="11" style="574" customWidth="1"/>
    <col min="18" max="18" width="12.42578125" style="574" customWidth="1"/>
    <col min="19" max="19" width="3.140625" style="574" customWidth="1"/>
    <col min="20" max="20" width="12.85546875" style="574" customWidth="1"/>
    <col min="21" max="16384" width="9.140625" style="574"/>
  </cols>
  <sheetData>
    <row r="1" spans="2:23" ht="45">
      <c r="B1" s="288" t="s">
        <v>245</v>
      </c>
      <c r="C1" s="287" t="s">
        <v>246</v>
      </c>
      <c r="D1" s="286" t="s">
        <v>247</v>
      </c>
      <c r="E1" s="285" t="s">
        <v>248</v>
      </c>
      <c r="F1" s="285" t="s">
        <v>249</v>
      </c>
      <c r="G1" s="289"/>
      <c r="I1" s="288" t="s">
        <v>514</v>
      </c>
      <c r="J1" s="287" t="s">
        <v>246</v>
      </c>
      <c r="K1" s="286" t="s">
        <v>247</v>
      </c>
      <c r="L1" s="285" t="s">
        <v>248</v>
      </c>
      <c r="M1" s="285" t="s">
        <v>249</v>
      </c>
    </row>
    <row r="2" spans="2:23" ht="38.25" customHeight="1">
      <c r="B2" s="282" t="s">
        <v>250</v>
      </c>
      <c r="C2" s="284">
        <v>265624.980974395</v>
      </c>
      <c r="D2" s="283">
        <v>447830.62000000011</v>
      </c>
      <c r="E2" s="240">
        <v>0.59313715746903362</v>
      </c>
      <c r="F2" s="279" t="s">
        <v>251</v>
      </c>
      <c r="G2" s="279"/>
      <c r="I2" s="282" t="s">
        <v>250</v>
      </c>
      <c r="J2" s="284">
        <v>260934.14020309437</v>
      </c>
      <c r="K2" s="283">
        <v>412511.14379999996</v>
      </c>
      <c r="L2" s="240">
        <v>0.6325505240886401</v>
      </c>
      <c r="M2" s="279" t="s">
        <v>513</v>
      </c>
    </row>
    <row r="3" spans="2:23" ht="38.25" customHeight="1">
      <c r="B3" s="282" t="s">
        <v>252</v>
      </c>
      <c r="C3" s="284">
        <v>434963.42143418256</v>
      </c>
      <c r="D3" s="283">
        <v>897613.54799999984</v>
      </c>
      <c r="E3" s="240">
        <v>0.48457760291535018</v>
      </c>
      <c r="F3" s="279" t="s">
        <v>251</v>
      </c>
      <c r="G3" s="279"/>
      <c r="I3" s="282" t="s">
        <v>252</v>
      </c>
      <c r="J3" s="284">
        <v>426883.63968913222</v>
      </c>
      <c r="K3" s="283">
        <v>849887.81530000002</v>
      </c>
      <c r="L3" s="240">
        <v>0.50228233892075225</v>
      </c>
      <c r="M3" s="279" t="s">
        <v>513</v>
      </c>
    </row>
    <row r="4" spans="2:23" ht="38.25" customHeight="1">
      <c r="B4" s="282" t="s">
        <v>253</v>
      </c>
      <c r="C4" s="284">
        <v>237344.05876537063</v>
      </c>
      <c r="D4" s="283">
        <v>696463.83799999987</v>
      </c>
      <c r="E4" s="240">
        <v>0.34078446836082632</v>
      </c>
      <c r="F4" s="279" t="s">
        <v>251</v>
      </c>
      <c r="G4" s="279"/>
      <c r="I4" s="282" t="s">
        <v>253</v>
      </c>
      <c r="J4" s="284">
        <v>256896.90429895674</v>
      </c>
      <c r="K4" s="283">
        <v>680084.59409000003</v>
      </c>
      <c r="L4" s="240">
        <v>0.37774257280846435</v>
      </c>
      <c r="M4" s="279" t="s">
        <v>513</v>
      </c>
    </row>
    <row r="5" spans="2:23" ht="38.25" customHeight="1">
      <c r="B5" s="282" t="s">
        <v>254</v>
      </c>
      <c r="C5" s="281">
        <v>71058.710754206855</v>
      </c>
      <c r="D5" s="280">
        <v>159394.87099999998</v>
      </c>
      <c r="E5" s="240">
        <v>0.4458029942143299</v>
      </c>
      <c r="F5" s="279" t="s">
        <v>251</v>
      </c>
      <c r="G5" s="279"/>
      <c r="I5" s="282" t="s">
        <v>254</v>
      </c>
      <c r="J5" s="281">
        <v>62710.006143507635</v>
      </c>
      <c r="K5" s="280">
        <v>131426.29363999999</v>
      </c>
      <c r="L5" s="240">
        <v>0.47714962057198007</v>
      </c>
      <c r="M5" s="279" t="s">
        <v>513</v>
      </c>
      <c r="W5" s="669"/>
    </row>
    <row r="6" spans="2:23" ht="15.75" thickBot="1">
      <c r="B6" s="212"/>
      <c r="C6" s="278">
        <f>SUM(C2:C5)</f>
        <v>1008991.171928155</v>
      </c>
      <c r="D6" s="277">
        <f>SUM(D2:D5)</f>
        <v>2201302.8769999999</v>
      </c>
      <c r="E6" s="276"/>
      <c r="F6" s="275"/>
      <c r="G6" s="275"/>
      <c r="I6" s="212"/>
      <c r="J6" s="278">
        <f>SUM(J2:J5)</f>
        <v>1007424.690334691</v>
      </c>
      <c r="K6" s="277">
        <f>SUM(K2:K5)</f>
        <v>2073909.8468300002</v>
      </c>
      <c r="L6" s="276"/>
      <c r="M6" s="275"/>
    </row>
    <row r="7" spans="2:23" ht="20.45" customHeight="1" thickTop="1">
      <c r="E7" s="613"/>
      <c r="F7" s="613"/>
      <c r="J7" s="668"/>
    </row>
    <row r="8" spans="2:23" outlineLevel="1">
      <c r="E8" s="613"/>
      <c r="F8" s="613"/>
    </row>
    <row r="9" spans="2:23">
      <c r="B9" s="488" t="s">
        <v>512</v>
      </c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6"/>
    </row>
    <row r="10" spans="2:23">
      <c r="B10" s="274" t="s">
        <v>255</v>
      </c>
      <c r="C10" s="653"/>
      <c r="D10" s="653"/>
      <c r="E10" s="666" t="s">
        <v>511</v>
      </c>
      <c r="F10" s="666" t="s">
        <v>511</v>
      </c>
      <c r="G10" s="666" t="s">
        <v>511</v>
      </c>
      <c r="H10" s="666" t="s">
        <v>511</v>
      </c>
      <c r="I10" s="666" t="s">
        <v>511</v>
      </c>
      <c r="J10" s="667" t="s">
        <v>511</v>
      </c>
      <c r="K10" s="666" t="s">
        <v>256</v>
      </c>
      <c r="L10" s="666" t="s">
        <v>256</v>
      </c>
      <c r="M10" s="666" t="s">
        <v>256</v>
      </c>
      <c r="N10" s="666"/>
      <c r="O10" s="666" t="s">
        <v>511</v>
      </c>
      <c r="P10" s="666" t="s">
        <v>511</v>
      </c>
      <c r="Q10" s="662"/>
      <c r="U10" s="1067" t="s">
        <v>221</v>
      </c>
      <c r="V10" s="1067"/>
    </row>
    <row r="11" spans="2:23">
      <c r="B11" s="654"/>
      <c r="C11" s="653"/>
      <c r="D11" s="653"/>
      <c r="E11" s="273">
        <f t="shared" ref="E11:P11" si="0">E18</f>
        <v>44197</v>
      </c>
      <c r="F11" s="273">
        <f t="shared" si="0"/>
        <v>44228</v>
      </c>
      <c r="G11" s="273">
        <f t="shared" si="0"/>
        <v>44256</v>
      </c>
      <c r="H11" s="273">
        <f t="shared" si="0"/>
        <v>44287</v>
      </c>
      <c r="I11" s="273">
        <f t="shared" si="0"/>
        <v>44317</v>
      </c>
      <c r="J11" s="273">
        <f t="shared" si="0"/>
        <v>44348</v>
      </c>
      <c r="K11" s="273">
        <f t="shared" si="0"/>
        <v>44013</v>
      </c>
      <c r="L11" s="273">
        <f t="shared" si="0"/>
        <v>44044</v>
      </c>
      <c r="M11" s="273">
        <f t="shared" si="0"/>
        <v>44075</v>
      </c>
      <c r="N11" s="273">
        <f t="shared" si="0"/>
        <v>44105</v>
      </c>
      <c r="O11" s="273">
        <f t="shared" si="0"/>
        <v>44136</v>
      </c>
      <c r="P11" s="273">
        <f t="shared" si="0"/>
        <v>44166</v>
      </c>
      <c r="Q11" s="662"/>
      <c r="U11" s="574" t="s">
        <v>256</v>
      </c>
      <c r="V11" s="574" t="s">
        <v>511</v>
      </c>
    </row>
    <row r="12" spans="2:23">
      <c r="B12" s="652"/>
      <c r="C12" s="651"/>
      <c r="D12" s="651"/>
      <c r="E12" s="665">
        <v>0.44178177770264848</v>
      </c>
      <c r="F12" s="665">
        <v>0.43074220315244366</v>
      </c>
      <c r="G12" s="665">
        <v>0.37091282462399283</v>
      </c>
      <c r="H12" s="665">
        <v>0.2478858811397503</v>
      </c>
      <c r="I12" s="665">
        <v>0.14939762150759234</v>
      </c>
      <c r="J12" s="665">
        <v>0.20673893405639079</v>
      </c>
      <c r="K12" s="664">
        <v>0.47247122399497105</v>
      </c>
      <c r="L12" s="664">
        <v>0.60799356081962108</v>
      </c>
      <c r="M12" s="664">
        <v>0.49397572267535506</v>
      </c>
      <c r="N12" s="664">
        <f>14/31*U12+17/31*V12</f>
        <v>0.45981812183434323</v>
      </c>
      <c r="O12" s="664">
        <v>0.40192862973102556</v>
      </c>
      <c r="P12" s="664">
        <v>0.51768135500254253</v>
      </c>
      <c r="Q12" s="661"/>
      <c r="U12" s="664">
        <v>0.49047779660312296</v>
      </c>
      <c r="V12" s="664">
        <v>0.43456897790711291</v>
      </c>
    </row>
    <row r="13" spans="2:23">
      <c r="B13" s="488" t="s">
        <v>257</v>
      </c>
      <c r="C13" s="272" t="s">
        <v>510</v>
      </c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6"/>
    </row>
    <row r="14" spans="2:23" ht="26.25">
      <c r="B14" s="663"/>
      <c r="C14" s="228"/>
      <c r="D14" s="270" t="s">
        <v>258</v>
      </c>
      <c r="E14" s="271" t="s">
        <v>259</v>
      </c>
      <c r="F14" s="270" t="s">
        <v>260</v>
      </c>
      <c r="G14" s="271" t="s">
        <v>261</v>
      </c>
      <c r="H14" s="271" t="s">
        <v>249</v>
      </c>
      <c r="I14" s="271" t="s">
        <v>262</v>
      </c>
      <c r="J14" s="270" t="s">
        <v>263</v>
      </c>
      <c r="K14" s="270" t="s">
        <v>264</v>
      </c>
      <c r="L14" s="653"/>
      <c r="M14" s="653"/>
      <c r="N14" s="653"/>
      <c r="O14" s="653"/>
      <c r="P14" s="653"/>
      <c r="Q14" s="662"/>
    </row>
    <row r="15" spans="2:23">
      <c r="B15" s="3" t="s">
        <v>265</v>
      </c>
      <c r="C15" s="269"/>
      <c r="D15" s="268">
        <f>229+44</f>
        <v>273</v>
      </c>
      <c r="E15" s="267">
        <v>696463.83799999999</v>
      </c>
      <c r="F15" s="266">
        <v>3.7043630471005602</v>
      </c>
      <c r="G15" s="265">
        <f>E15*F15</f>
        <v>2579954.9051290308</v>
      </c>
      <c r="H15" s="264" t="s">
        <v>266</v>
      </c>
      <c r="I15" s="263">
        <v>2534120</v>
      </c>
      <c r="J15" s="263">
        <f>2200352+333768</f>
        <v>2534120</v>
      </c>
      <c r="K15" s="262">
        <f>G15-I15</f>
        <v>45834.905129030813</v>
      </c>
      <c r="L15" s="651"/>
      <c r="M15" s="651"/>
      <c r="N15" s="651"/>
      <c r="O15" s="651"/>
      <c r="P15" s="651"/>
      <c r="Q15" s="661"/>
    </row>
    <row r="16" spans="2:23">
      <c r="B16" s="660"/>
      <c r="C16" s="660"/>
      <c r="D16" s="660"/>
      <c r="E16" s="613"/>
      <c r="F16" s="660"/>
      <c r="G16" s="659"/>
      <c r="H16" s="613"/>
      <c r="I16" s="658"/>
    </row>
    <row r="17" spans="2:20" s="655" customFormat="1">
      <c r="B17" s="261" t="s">
        <v>135</v>
      </c>
      <c r="C17" s="260"/>
      <c r="D17" s="260"/>
      <c r="E17" s="657"/>
      <c r="F17" s="657"/>
      <c r="G17" s="657"/>
      <c r="H17" s="657"/>
      <c r="I17" s="657"/>
      <c r="J17" s="657"/>
      <c r="K17" s="657"/>
      <c r="L17" s="657"/>
      <c r="M17" s="657"/>
      <c r="N17" s="657"/>
      <c r="O17" s="657"/>
      <c r="P17" s="657"/>
      <c r="Q17" s="656"/>
    </row>
    <row r="18" spans="2:20">
      <c r="B18" s="654"/>
      <c r="C18" s="653"/>
      <c r="D18" s="653"/>
      <c r="E18" s="251">
        <f>'12MOE Jun-21 Wind'!B2</f>
        <v>44197</v>
      </c>
      <c r="F18" s="251">
        <f>'12MOE Jun-21 Wind'!C2</f>
        <v>44228</v>
      </c>
      <c r="G18" s="251">
        <f>'12MOE Jun-21 Wind'!D2</f>
        <v>44256</v>
      </c>
      <c r="H18" s="251">
        <f>'12MOE Jun-21 Wind'!E2</f>
        <v>44287</v>
      </c>
      <c r="I18" s="251">
        <f>'12MOE Jun-21 Wind'!F2</f>
        <v>44317</v>
      </c>
      <c r="J18" s="251">
        <f>'12MOE Jun-21 Wind'!G2</f>
        <v>44348</v>
      </c>
      <c r="K18" s="251">
        <f>'12MOE Jun-21 Wind'!H2</f>
        <v>44013</v>
      </c>
      <c r="L18" s="251">
        <f>'12MOE Jun-21 Wind'!I2</f>
        <v>44044</v>
      </c>
      <c r="M18" s="251">
        <f>'12MOE Jun-21 Wind'!J2</f>
        <v>44075</v>
      </c>
      <c r="N18" s="251">
        <f>'12MOE Jun-21 Wind'!K2</f>
        <v>44105</v>
      </c>
      <c r="O18" s="251">
        <f>'12MOE Jun-21 Wind'!L2</f>
        <v>44136</v>
      </c>
      <c r="P18" s="251">
        <f>'12MOE Jun-21 Wind'!M2</f>
        <v>44166</v>
      </c>
      <c r="Q18" s="250" t="s">
        <v>55</v>
      </c>
      <c r="R18" s="249"/>
    </row>
    <row r="19" spans="2:20" s="150" customFormat="1" ht="12.75">
      <c r="B19" s="487" t="s">
        <v>267</v>
      </c>
      <c r="C19" s="253"/>
      <c r="D19" s="25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3"/>
      <c r="R19" s="229"/>
    </row>
    <row r="20" spans="2:20" s="150" customFormat="1" ht="12.75">
      <c r="B20" s="225" t="s">
        <v>126</v>
      </c>
      <c r="C20" s="224"/>
      <c r="D20" s="224"/>
      <c r="E20" s="256">
        <f>-'12MOE Jun-21 Wind'!B18</f>
        <v>6832.6759999999995</v>
      </c>
      <c r="F20" s="256">
        <f>-'12MOE Jun-21 Wind'!C18</f>
        <v>-18369.788</v>
      </c>
      <c r="G20" s="256">
        <f>-'12MOE Jun-21 Wind'!D18</f>
        <v>3815.9860999999946</v>
      </c>
      <c r="H20" s="256">
        <f>-'12MOE Jun-21 Wind'!E18</f>
        <v>4243.457699999999</v>
      </c>
      <c r="I20" s="256">
        <f>-'12MOE Jun-21 Wind'!F18</f>
        <v>7179.3399999999965</v>
      </c>
      <c r="J20" s="256">
        <f>-'12MOE Jun-21 Wind'!G18</f>
        <v>8015.9360000000015</v>
      </c>
      <c r="K20" s="256">
        <f>-'12MOE Jun-21 Wind'!H18</f>
        <v>2791.6473240727282</v>
      </c>
      <c r="L20" s="256">
        <f>-'12MOE Jun-21 Wind'!I18</f>
        <v>-326.63847521799107</v>
      </c>
      <c r="M20" s="256">
        <f>-'12MOE Jun-21 Wind'!J18</f>
        <v>7488.6016079941219</v>
      </c>
      <c r="N20" s="256">
        <f>-'12MOE Jun-21 Wind'!K18</f>
        <v>-10878.719569183391</v>
      </c>
      <c r="O20" s="256">
        <f>-'12MOE Jun-21 Wind'!L18</f>
        <v>-8763.9799999999959</v>
      </c>
      <c r="P20" s="256">
        <f>-'12MOE Jun-21 Wind'!M18</f>
        <v>6004.6999999999971</v>
      </c>
      <c r="Q20" s="255">
        <f>SUM(E20:P20)</f>
        <v>8033.2186876654596</v>
      </c>
      <c r="R20" s="254"/>
      <c r="S20" s="237"/>
      <c r="T20" s="237"/>
    </row>
    <row r="21" spans="2:20" s="150" customFormat="1" ht="12.75">
      <c r="B21" s="225" t="s">
        <v>127</v>
      </c>
      <c r="C21" s="224"/>
      <c r="D21" s="224"/>
      <c r="E21" s="256">
        <f>-'12MOE Jun-21 Wind'!B19</f>
        <v>14974.200000000004</v>
      </c>
      <c r="F21" s="256">
        <f>-'12MOE Jun-21 Wind'!C19</f>
        <v>-41488.349999999991</v>
      </c>
      <c r="G21" s="256">
        <f>-'12MOE Jun-21 Wind'!D19</f>
        <v>9609.6699999999983</v>
      </c>
      <c r="H21" s="256">
        <f>-'12MOE Jun-21 Wind'!E19</f>
        <v>-9740.2999999999884</v>
      </c>
      <c r="I21" s="256">
        <f>-'12MOE Jun-21 Wind'!F19</f>
        <v>-6430.3000000000029</v>
      </c>
      <c r="J21" s="256">
        <f>-'12MOE Jun-21 Wind'!G19</f>
        <v>4412.8000000000029</v>
      </c>
      <c r="K21" s="256">
        <f>-'12MOE Jun-21 Wind'!H19</f>
        <v>-9521.4621103448299</v>
      </c>
      <c r="L21" s="256">
        <f>-'12MOE Jun-21 Wind'!I19</f>
        <v>5554.881765517217</v>
      </c>
      <c r="M21" s="256">
        <f>-'12MOE Jun-21 Wind'!J19</f>
        <v>7613.0496275861733</v>
      </c>
      <c r="N21" s="256">
        <f>-'12MOE Jun-21 Wind'!K19</f>
        <v>-21884.063148387111</v>
      </c>
      <c r="O21" s="256">
        <f>-'12MOE Jun-21 Wind'!L19</f>
        <v>3886.6500000000015</v>
      </c>
      <c r="P21" s="256">
        <f>-'12MOE Jun-21 Wind'!M19</f>
        <v>17062.849999999999</v>
      </c>
      <c r="Q21" s="255">
        <f>SUM(E21:P21)</f>
        <v>-25950.373865628528</v>
      </c>
      <c r="R21" s="254"/>
      <c r="T21" s="237"/>
    </row>
    <row r="22" spans="2:20" s="150" customFormat="1" ht="12.75">
      <c r="B22" s="225" t="s">
        <v>128</v>
      </c>
      <c r="C22" s="224"/>
      <c r="D22" s="224"/>
      <c r="E22" s="256">
        <f>-'12MOE Jun-21 Wind'!B20</f>
        <v>20442.584999999999</v>
      </c>
      <c r="F22" s="256">
        <f>-'12MOE Jun-21 Wind'!C20</f>
        <v>-28892.703999999998</v>
      </c>
      <c r="G22" s="256">
        <f>-'12MOE Jun-21 Wind'!D20</f>
        <v>9030.4648000000016</v>
      </c>
      <c r="H22" s="256">
        <f>-'12MOE Jun-21 Wind'!E20</f>
        <v>-8354.0129999999917</v>
      </c>
      <c r="I22" s="256">
        <f>-'12MOE Jun-21 Wind'!F20</f>
        <v>-2113.5759999999937</v>
      </c>
      <c r="J22" s="256">
        <f>-'12MOE Jun-21 Wind'!G20</f>
        <v>4170.997000000003</v>
      </c>
      <c r="K22" s="256">
        <f>-'12MOE Jun-21 Wind'!H20</f>
        <v>-8282.7516067870456</v>
      </c>
      <c r="L22" s="256">
        <f>-'12MOE Jun-21 Wind'!I20</f>
        <v>-1947.9386757452521</v>
      </c>
      <c r="M22" s="256">
        <f>-'12MOE Jun-21 Wind'!J20</f>
        <v>2942.751119715409</v>
      </c>
      <c r="N22" s="256">
        <f>-'12MOE Jun-21 Wind'!K20</f>
        <v>-18651.20921006929</v>
      </c>
      <c r="O22" s="256">
        <f>-'12MOE Jun-21 Wind'!L20</f>
        <v>-13156.70199999999</v>
      </c>
      <c r="P22" s="256">
        <f>-'12MOE Jun-21 Wind'!M20</f>
        <v>8401.2230000000054</v>
      </c>
      <c r="Q22" s="255">
        <f>SUM(E22:P22)</f>
        <v>-36410.873572886143</v>
      </c>
      <c r="R22" s="254"/>
      <c r="T22" s="237"/>
    </row>
    <row r="23" spans="2:20" s="150" customFormat="1" ht="12.75">
      <c r="B23" s="225" t="s">
        <v>129</v>
      </c>
      <c r="C23" s="224"/>
      <c r="D23" s="224"/>
      <c r="E23" s="259">
        <f>-'12MOE Jun-21 Wind'!B21</f>
        <v>2457.3574200000003</v>
      </c>
      <c r="F23" s="259">
        <f>-'12MOE Jun-21 Wind'!C21</f>
        <v>-6036.3886700000003</v>
      </c>
      <c r="G23" s="259">
        <f>-'12MOE Jun-21 Wind'!D21</f>
        <v>-1286.2520000000004</v>
      </c>
      <c r="H23" s="259">
        <f>-'12MOE Jun-21 Wind'!E21</f>
        <v>-4.4053000000003522</v>
      </c>
      <c r="I23" s="259">
        <f>-'12MOE Jun-21 Wind'!F21</f>
        <v>-1020.2567999999992</v>
      </c>
      <c r="J23" s="259">
        <f>-'12MOE Jun-21 Wind'!G21</f>
        <v>2211.6699999999983</v>
      </c>
      <c r="K23" s="259">
        <f>-'12MOE Jun-21 Wind'!H21</f>
        <v>1548.6514707929055</v>
      </c>
      <c r="L23" s="259">
        <f>-'12MOE Jun-21 Wind'!I21</f>
        <v>1822.2513881220038</v>
      </c>
      <c r="M23" s="259">
        <f>-'12MOE Jun-21 Wind'!J21</f>
        <v>9374.1876787102065</v>
      </c>
      <c r="N23" s="259">
        <f>-'12MOE Jun-21 Wind'!K21</f>
        <v>1147.9882879949473</v>
      </c>
      <c r="O23" s="259">
        <f>-'12MOE Jun-21 Wind'!L21</f>
        <v>-157.41700000000037</v>
      </c>
      <c r="P23" s="259">
        <f>-'12MOE Jun-21 Wind'!M21</f>
        <v>1435.8964800000003</v>
      </c>
      <c r="Q23" s="258">
        <f>SUM(E23:P23)</f>
        <v>11493.28295562006</v>
      </c>
      <c r="R23" s="257"/>
      <c r="T23" s="237"/>
    </row>
    <row r="24" spans="2:20" s="150" customFormat="1" ht="12.75">
      <c r="B24" s="220" t="str">
        <f>B19</f>
        <v>INCREASE / (DECREASE) TO WIND GENERATION</v>
      </c>
      <c r="C24" s="219"/>
      <c r="D24" s="219"/>
      <c r="E24" s="256">
        <f t="shared" ref="E24:P24" si="1">SUM(E20:E23)</f>
        <v>44706.818420000003</v>
      </c>
      <c r="F24" s="256">
        <f t="shared" si="1"/>
        <v>-94787.23066999999</v>
      </c>
      <c r="G24" s="256">
        <f t="shared" si="1"/>
        <v>21169.868899999994</v>
      </c>
      <c r="H24" s="256">
        <f t="shared" si="1"/>
        <v>-13855.260599999981</v>
      </c>
      <c r="I24" s="256">
        <f t="shared" si="1"/>
        <v>-2384.7927999999993</v>
      </c>
      <c r="J24" s="256">
        <f t="shared" si="1"/>
        <v>18811.403000000006</v>
      </c>
      <c r="K24" s="256">
        <f t="shared" si="1"/>
        <v>-13463.914922266242</v>
      </c>
      <c r="L24" s="256">
        <f t="shared" si="1"/>
        <v>5102.5560026759777</v>
      </c>
      <c r="M24" s="256">
        <f t="shared" si="1"/>
        <v>27418.590034005909</v>
      </c>
      <c r="N24" s="256">
        <f t="shared" si="1"/>
        <v>-50266.003639644841</v>
      </c>
      <c r="O24" s="256">
        <f t="shared" si="1"/>
        <v>-18191.448999999986</v>
      </c>
      <c r="P24" s="256">
        <f t="shared" si="1"/>
        <v>32904.669480000004</v>
      </c>
      <c r="Q24" s="255">
        <f>SUM(E24:P24)</f>
        <v>-42834.745795229137</v>
      </c>
      <c r="R24" s="254"/>
    </row>
    <row r="25" spans="2:20" s="150" customFormat="1" ht="12.75">
      <c r="B25" s="220"/>
      <c r="C25" s="219"/>
      <c r="D25" s="219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3"/>
      <c r="R25" s="229"/>
    </row>
    <row r="26" spans="2:20" s="150" customFormat="1" ht="12.75">
      <c r="B26" s="487" t="s">
        <v>135</v>
      </c>
      <c r="C26" s="253"/>
      <c r="D26" s="25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3"/>
      <c r="R26" s="229"/>
    </row>
    <row r="27" spans="2:20" s="150" customFormat="1" ht="12.75">
      <c r="B27" s="215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3"/>
      <c r="R27" s="229"/>
    </row>
    <row r="28" spans="2:20" s="150" customFormat="1" ht="12.75">
      <c r="B28" s="220"/>
      <c r="C28" s="252" t="s">
        <v>509</v>
      </c>
      <c r="D28" s="252" t="s">
        <v>508</v>
      </c>
      <c r="E28" s="251">
        <f t="shared" ref="E28:P28" si="2">E18</f>
        <v>44197</v>
      </c>
      <c r="F28" s="251">
        <f t="shared" si="2"/>
        <v>44228</v>
      </c>
      <c r="G28" s="251">
        <f t="shared" si="2"/>
        <v>44256</v>
      </c>
      <c r="H28" s="251">
        <f t="shared" si="2"/>
        <v>44287</v>
      </c>
      <c r="I28" s="251">
        <f t="shared" si="2"/>
        <v>44317</v>
      </c>
      <c r="J28" s="251">
        <f t="shared" si="2"/>
        <v>44348</v>
      </c>
      <c r="K28" s="251">
        <f t="shared" si="2"/>
        <v>44013</v>
      </c>
      <c r="L28" s="251">
        <f t="shared" si="2"/>
        <v>44044</v>
      </c>
      <c r="M28" s="251">
        <f t="shared" si="2"/>
        <v>44075</v>
      </c>
      <c r="N28" s="251">
        <f t="shared" si="2"/>
        <v>44105</v>
      </c>
      <c r="O28" s="251">
        <f t="shared" si="2"/>
        <v>44136</v>
      </c>
      <c r="P28" s="251">
        <f t="shared" si="2"/>
        <v>44166</v>
      </c>
      <c r="Q28" s="250" t="s">
        <v>55</v>
      </c>
      <c r="R28" s="249"/>
    </row>
    <row r="29" spans="2:20" s="150" customFormat="1" ht="12.75">
      <c r="B29" s="231" t="s">
        <v>268</v>
      </c>
      <c r="C29" s="248" t="s">
        <v>269</v>
      </c>
      <c r="D29" s="248" t="s">
        <v>269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3"/>
      <c r="R29" s="247" t="s">
        <v>270</v>
      </c>
    </row>
    <row r="30" spans="2:20" s="150" customFormat="1" ht="12.75">
      <c r="B30" s="225" t="s">
        <v>126</v>
      </c>
      <c r="C30" s="240">
        <f>E2</f>
        <v>0.59313715746903362</v>
      </c>
      <c r="D30" s="240">
        <f>L2</f>
        <v>0.6325505240886401</v>
      </c>
      <c r="E30" s="239">
        <f t="shared" ref="E30:J33" si="3">E20*$D30</f>
        <v>4322.0127847278727</v>
      </c>
      <c r="F30" s="239">
        <f t="shared" si="3"/>
        <v>-11619.819026797211</v>
      </c>
      <c r="G30" s="239">
        <f t="shared" si="3"/>
        <v>2413.8040074699625</v>
      </c>
      <c r="H30" s="239">
        <f t="shared" si="3"/>
        <v>2684.2013920829745</v>
      </c>
      <c r="I30" s="239">
        <f t="shared" si="3"/>
        <v>4541.2952796105355</v>
      </c>
      <c r="J30" s="239">
        <f t="shared" si="3"/>
        <v>5070.4845178609985</v>
      </c>
      <c r="K30" s="234">
        <f t="shared" ref="K30:M33" si="4">K20*$C30</f>
        <v>1655.8297584565321</v>
      </c>
      <c r="L30" s="234">
        <f t="shared" si="4"/>
        <v>-193.74141671081861</v>
      </c>
      <c r="M30" s="234">
        <f t="shared" si="4"/>
        <v>4441.7678711836679</v>
      </c>
      <c r="N30" s="234">
        <f>N20*$D30*14/31+N20*$C30*17/31</f>
        <v>-6646.2094950149476</v>
      </c>
      <c r="O30" s="234">
        <f t="shared" ref="O30:P33" si="5">O20*$D30</f>
        <v>-5543.6601421023579</v>
      </c>
      <c r="P30" s="234">
        <f t="shared" si="5"/>
        <v>3798.2761319950555</v>
      </c>
      <c r="Q30" s="233">
        <f>SUM(E30:P30)</f>
        <v>4924.2416627622642</v>
      </c>
      <c r="R30" s="238"/>
    </row>
    <row r="31" spans="2:20" s="150" customFormat="1" ht="12.75">
      <c r="B31" s="225" t="s">
        <v>127</v>
      </c>
      <c r="C31" s="240">
        <f>E3</f>
        <v>0.48457760291535018</v>
      </c>
      <c r="D31" s="240">
        <f>L3</f>
        <v>0.50228233892075225</v>
      </c>
      <c r="E31" s="239">
        <f t="shared" si="3"/>
        <v>7521.2761994671309</v>
      </c>
      <c r="F31" s="239">
        <f t="shared" si="3"/>
        <v>-20838.865475962786</v>
      </c>
      <c r="G31" s="239">
        <f t="shared" si="3"/>
        <v>4826.7675238565844</v>
      </c>
      <c r="H31" s="239">
        <f t="shared" si="3"/>
        <v>-4892.3806657897976</v>
      </c>
      <c r="I31" s="239">
        <f t="shared" si="3"/>
        <v>-3229.8261239621147</v>
      </c>
      <c r="J31" s="239">
        <f t="shared" si="3"/>
        <v>2216.4715051894968</v>
      </c>
      <c r="K31" s="234">
        <f t="shared" si="4"/>
        <v>-4613.8872856802291</v>
      </c>
      <c r="L31" s="234">
        <f t="shared" si="4"/>
        <v>2691.7712904125215</v>
      </c>
      <c r="M31" s="234">
        <f t="shared" si="4"/>
        <v>3689.1133394113072</v>
      </c>
      <c r="N31" s="234">
        <f>N21*$D31*14/31+N21*$C31*17/31</f>
        <v>-10779.504986711268</v>
      </c>
      <c r="O31" s="234">
        <f t="shared" si="5"/>
        <v>1952.1956525663425</v>
      </c>
      <c r="P31" s="234">
        <f t="shared" si="5"/>
        <v>8570.3682066539568</v>
      </c>
      <c r="Q31" s="233">
        <f>SUM(E31:P31)</f>
        <v>-12886.500820548854</v>
      </c>
      <c r="R31" s="238"/>
    </row>
    <row r="32" spans="2:20" s="150" customFormat="1" ht="12.75">
      <c r="B32" s="225" t="s">
        <v>128</v>
      </c>
      <c r="C32" s="240">
        <f>E4</f>
        <v>0.34078446836082632</v>
      </c>
      <c r="D32" s="240">
        <f>L4</f>
        <v>0.37774257280846435</v>
      </c>
      <c r="E32" s="239">
        <f t="shared" si="3"/>
        <v>7722.0346527557213</v>
      </c>
      <c r="F32" s="239">
        <f t="shared" si="3"/>
        <v>-10914.004344353409</v>
      </c>
      <c r="G32" s="239">
        <f t="shared" si="3"/>
        <v>3411.1910072082751</v>
      </c>
      <c r="H32" s="239">
        <f t="shared" si="3"/>
        <v>-3155.6663638953546</v>
      </c>
      <c r="I32" s="239">
        <f t="shared" si="3"/>
        <v>-798.38763606622047</v>
      </c>
      <c r="J32" s="239">
        <f t="shared" si="3"/>
        <v>1575.5631379563874</v>
      </c>
      <c r="K32" s="234">
        <f t="shared" si="4"/>
        <v>-2822.6331028837035</v>
      </c>
      <c r="L32" s="234">
        <f t="shared" si="4"/>
        <v>-663.8272460133378</v>
      </c>
      <c r="M32" s="234">
        <f t="shared" si="4"/>
        <v>1002.843875850442</v>
      </c>
      <c r="N32" s="234">
        <f>N22*$D32*14/31+N22*$C32*17/31</f>
        <v>-6667.3452127737792</v>
      </c>
      <c r="O32" s="234">
        <f t="shared" si="5"/>
        <v>-4969.8464631542647</v>
      </c>
      <c r="P32" s="234">
        <f t="shared" si="5"/>
        <v>3173.4995907576472</v>
      </c>
      <c r="Q32" s="233">
        <f>SUM(E32:P32)</f>
        <v>-13106.578104611595</v>
      </c>
      <c r="R32" s="238"/>
    </row>
    <row r="33" spans="2:20" s="150" customFormat="1" ht="12.75">
      <c r="B33" s="225" t="s">
        <v>129</v>
      </c>
      <c r="C33" s="240">
        <f>E5</f>
        <v>0.4458029942143299</v>
      </c>
      <c r="D33" s="240">
        <f>L5</f>
        <v>0.47714962057198007</v>
      </c>
      <c r="E33" s="246">
        <f t="shared" si="3"/>
        <v>1172.5271605627399</v>
      </c>
      <c r="F33" s="246">
        <f t="shared" si="3"/>
        <v>-2880.2605635154996</v>
      </c>
      <c r="G33" s="246">
        <f t="shared" si="3"/>
        <v>-613.73465375995067</v>
      </c>
      <c r="H33" s="246">
        <f t="shared" si="3"/>
        <v>-2.1019872235059118</v>
      </c>
      <c r="I33" s="246">
        <f t="shared" si="3"/>
        <v>-486.81514500598217</v>
      </c>
      <c r="J33" s="246">
        <f t="shared" si="3"/>
        <v>1055.2975013304304</v>
      </c>
      <c r="K33" s="245">
        <f t="shared" si="4"/>
        <v>690.39346267390306</v>
      </c>
      <c r="L33" s="245">
        <f t="shared" si="4"/>
        <v>812.36512503600829</v>
      </c>
      <c r="M33" s="245">
        <f t="shared" si="4"/>
        <v>4179.0409354960884</v>
      </c>
      <c r="N33" s="245">
        <f>N23*$D33*14/31+N23*$C33*17/31</f>
        <v>528.02815930384952</v>
      </c>
      <c r="O33" s="245">
        <f t="shared" si="5"/>
        <v>-75.111461821579567</v>
      </c>
      <c r="P33" s="245">
        <f t="shared" si="5"/>
        <v>685.13746061264192</v>
      </c>
      <c r="Q33" s="244">
        <f>SUM(E33:P33)</f>
        <v>5064.7659936891432</v>
      </c>
      <c r="R33" s="238"/>
    </row>
    <row r="34" spans="2:20" s="150" customFormat="1" ht="12.75">
      <c r="B34" s="220" t="s">
        <v>271</v>
      </c>
      <c r="C34" s="219"/>
      <c r="D34" s="219"/>
      <c r="E34" s="234">
        <f t="shared" ref="E34:P34" si="6">SUM(E30:E33)</f>
        <v>20737.850797513463</v>
      </c>
      <c r="F34" s="234">
        <f t="shared" si="6"/>
        <v>-46252.949410628906</v>
      </c>
      <c r="G34" s="234">
        <f t="shared" si="6"/>
        <v>10038.02788477487</v>
      </c>
      <c r="H34" s="234">
        <f t="shared" si="6"/>
        <v>-5365.9476248256833</v>
      </c>
      <c r="I34" s="234">
        <f t="shared" si="6"/>
        <v>26.266374576218197</v>
      </c>
      <c r="J34" s="234">
        <f t="shared" si="6"/>
        <v>9917.8166623373145</v>
      </c>
      <c r="K34" s="234">
        <f t="shared" si="6"/>
        <v>-5090.2971674334976</v>
      </c>
      <c r="L34" s="234">
        <f t="shared" si="6"/>
        <v>2646.5677527243733</v>
      </c>
      <c r="M34" s="234">
        <f t="shared" si="6"/>
        <v>13312.766021941505</v>
      </c>
      <c r="N34" s="234">
        <f t="shared" si="6"/>
        <v>-23565.031535196147</v>
      </c>
      <c r="O34" s="234">
        <f t="shared" si="6"/>
        <v>-8636.4224145118606</v>
      </c>
      <c r="P34" s="234">
        <f t="shared" si="6"/>
        <v>16227.2813900193</v>
      </c>
      <c r="Q34" s="233">
        <f>SUM(E34:P34)</f>
        <v>-16004.071268709053</v>
      </c>
      <c r="R34" s="229"/>
    </row>
    <row r="35" spans="2:20" s="150" customFormat="1" ht="12.75">
      <c r="B35" s="215"/>
      <c r="C35" s="214"/>
      <c r="D35" s="214"/>
      <c r="E35" s="243">
        <f t="shared" ref="E35:Q35" si="7">E34/E24</f>
        <v>0.4638632658376825</v>
      </c>
      <c r="F35" s="243">
        <f t="shared" si="7"/>
        <v>0.48796603808014716</v>
      </c>
      <c r="G35" s="243">
        <f t="shared" si="7"/>
        <v>0.47416580292449867</v>
      </c>
      <c r="H35" s="243">
        <f t="shared" si="7"/>
        <v>0.38728593995739713</v>
      </c>
      <c r="I35" s="243">
        <f t="shared" si="7"/>
        <v>-1.1014111823978254E-2</v>
      </c>
      <c r="J35" s="243">
        <f t="shared" si="7"/>
        <v>0.52722365590367248</v>
      </c>
      <c r="K35" s="243">
        <f t="shared" si="7"/>
        <v>0.37806961770200348</v>
      </c>
      <c r="L35" s="243">
        <f t="shared" si="7"/>
        <v>0.51867490554467421</v>
      </c>
      <c r="M35" s="243">
        <f t="shared" si="7"/>
        <v>0.48553795090959623</v>
      </c>
      <c r="N35" s="243">
        <f t="shared" si="7"/>
        <v>0.4688065457547213</v>
      </c>
      <c r="O35" s="243">
        <f t="shared" si="7"/>
        <v>0.47475175916508172</v>
      </c>
      <c r="P35" s="243">
        <f t="shared" si="7"/>
        <v>0.49316044337970044</v>
      </c>
      <c r="Q35" s="242">
        <f t="shared" si="7"/>
        <v>0.37362358458285888</v>
      </c>
      <c r="R35" s="229"/>
    </row>
    <row r="36" spans="2:20" s="150" customFormat="1" ht="12.75">
      <c r="B36" s="231" t="s">
        <v>272</v>
      </c>
      <c r="C36" s="230"/>
      <c r="D36" s="230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3"/>
      <c r="R36" s="229"/>
    </row>
    <row r="37" spans="2:20" s="150" customFormat="1" ht="12.75">
      <c r="B37" s="225" t="s">
        <v>126</v>
      </c>
      <c r="C37" s="236"/>
      <c r="D37" s="228" t="s">
        <v>273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6"/>
      <c r="R37" s="216"/>
    </row>
    <row r="38" spans="2:20" s="150" customFormat="1" ht="12.75">
      <c r="B38" s="225" t="s">
        <v>127</v>
      </c>
      <c r="C38" s="236"/>
      <c r="D38" s="228" t="s">
        <v>273</v>
      </c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6"/>
      <c r="R38" s="216"/>
    </row>
    <row r="39" spans="2:20" s="150" customFormat="1" ht="12.75">
      <c r="B39" s="225" t="s">
        <v>133</v>
      </c>
      <c r="C39" s="241"/>
      <c r="D39" s="240">
        <f>F15</f>
        <v>3.7043630471005602</v>
      </c>
      <c r="E39" s="239"/>
      <c r="F39" s="239"/>
      <c r="G39" s="239"/>
      <c r="H39" s="239"/>
      <c r="I39" s="239"/>
      <c r="J39" s="239"/>
      <c r="K39" s="234">
        <f>K22*$D$39</f>
        <v>-30682.318980494721</v>
      </c>
      <c r="L39" s="234">
        <f>L22*$D$39</f>
        <v>-7215.8720484487121</v>
      </c>
      <c r="M39" s="234">
        <f>M22*$D$39</f>
        <v>10901.018504687558</v>
      </c>
      <c r="N39" s="234">
        <f>N22*$D$39*14/31</f>
        <v>-31202.319436816528</v>
      </c>
      <c r="O39" s="234"/>
      <c r="P39" s="234"/>
      <c r="Q39" s="233">
        <f>SUM(E39:P39)</f>
        <v>-58199.491961072403</v>
      </c>
      <c r="R39" s="238"/>
      <c r="T39" s="237"/>
    </row>
    <row r="40" spans="2:20" s="150" customFormat="1" ht="12.75">
      <c r="B40" s="225" t="s">
        <v>129</v>
      </c>
      <c r="C40" s="236"/>
      <c r="D40" s="228" t="s">
        <v>274</v>
      </c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6"/>
      <c r="R40" s="216"/>
      <c r="S40" s="235"/>
    </row>
    <row r="41" spans="2:20" s="150" customFormat="1" ht="12.75">
      <c r="B41" s="220" t="s">
        <v>275</v>
      </c>
      <c r="C41" s="219"/>
      <c r="D41" s="219"/>
      <c r="E41" s="234">
        <f t="shared" ref="E41:P41" si="8">SUM(E37:E40)</f>
        <v>0</v>
      </c>
      <c r="F41" s="234">
        <f t="shared" si="8"/>
        <v>0</v>
      </c>
      <c r="G41" s="234">
        <f t="shared" si="8"/>
        <v>0</v>
      </c>
      <c r="H41" s="234">
        <f t="shared" si="8"/>
        <v>0</v>
      </c>
      <c r="I41" s="234">
        <f t="shared" si="8"/>
        <v>0</v>
      </c>
      <c r="J41" s="234">
        <f t="shared" si="8"/>
        <v>0</v>
      </c>
      <c r="K41" s="234">
        <f t="shared" si="8"/>
        <v>-30682.318980494721</v>
      </c>
      <c r="L41" s="234">
        <f t="shared" si="8"/>
        <v>-7215.8720484487121</v>
      </c>
      <c r="M41" s="234">
        <f t="shared" si="8"/>
        <v>10901.018504687558</v>
      </c>
      <c r="N41" s="234">
        <f t="shared" si="8"/>
        <v>-31202.319436816528</v>
      </c>
      <c r="O41" s="234">
        <f t="shared" si="8"/>
        <v>0</v>
      </c>
      <c r="P41" s="234">
        <f t="shared" si="8"/>
        <v>0</v>
      </c>
      <c r="Q41" s="233">
        <f>SUM(E41:P41)</f>
        <v>-58199.491961072403</v>
      </c>
      <c r="R41" s="232"/>
    </row>
    <row r="42" spans="2:20" s="150" customFormat="1" ht="12.75">
      <c r="B42" s="215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3"/>
      <c r="R42" s="229"/>
    </row>
    <row r="43" spans="2:20" s="150" customFormat="1" ht="12.75">
      <c r="B43" s="231" t="s">
        <v>276</v>
      </c>
      <c r="C43" s="230"/>
      <c r="D43" s="230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3"/>
      <c r="R43" s="229"/>
    </row>
    <row r="44" spans="2:20" s="150" customFormat="1" ht="12.75">
      <c r="B44" s="225" t="s">
        <v>126</v>
      </c>
      <c r="C44" s="228" t="s">
        <v>277</v>
      </c>
      <c r="D44" s="224"/>
      <c r="E44" s="218">
        <f t="shared" ref="E44:P44" si="9">E20*E$12</f>
        <v>3018.551749746221</v>
      </c>
      <c r="F44" s="218">
        <f t="shared" si="9"/>
        <v>-7912.6429545633218</v>
      </c>
      <c r="G44" s="218">
        <f t="shared" si="9"/>
        <v>1415.3981830768923</v>
      </c>
      <c r="H44" s="218">
        <f t="shared" si="9"/>
        <v>1051.893251043758</v>
      </c>
      <c r="I44" s="218">
        <f t="shared" si="9"/>
        <v>1072.5763199943174</v>
      </c>
      <c r="J44" s="218">
        <f t="shared" si="9"/>
        <v>1657.2060641042492</v>
      </c>
      <c r="K44" s="218">
        <f t="shared" si="9"/>
        <v>1318.9730281669274</v>
      </c>
      <c r="L44" s="218">
        <f t="shared" si="9"/>
        <v>-198.59408964847796</v>
      </c>
      <c r="M44" s="218">
        <f t="shared" si="9"/>
        <v>3699.1873911367225</v>
      </c>
      <c r="N44" s="218">
        <f t="shared" si="9"/>
        <v>-5002.2324002644227</v>
      </c>
      <c r="O44" s="218">
        <f t="shared" si="9"/>
        <v>-3522.4944723901117</v>
      </c>
      <c r="P44" s="221">
        <f t="shared" si="9"/>
        <v>3108.5212323837654</v>
      </c>
      <c r="Q44" s="217">
        <f>SUM(E44:P44)</f>
        <v>-293.65669721348104</v>
      </c>
      <c r="R44" s="216"/>
    </row>
    <row r="45" spans="2:20" s="150" customFormat="1" ht="12.75">
      <c r="B45" s="225" t="s">
        <v>127</v>
      </c>
      <c r="C45" s="228" t="s">
        <v>277</v>
      </c>
      <c r="D45" s="224"/>
      <c r="E45" s="218">
        <f t="shared" ref="E45:P45" si="10">E21*E$12</f>
        <v>6615.3286956750007</v>
      </c>
      <c r="F45" s="218">
        <f t="shared" si="10"/>
        <v>-17870.783284159683</v>
      </c>
      <c r="G45" s="218">
        <f t="shared" si="10"/>
        <v>3564.3498434044445</v>
      </c>
      <c r="H45" s="218">
        <f t="shared" si="10"/>
        <v>-2414.4828480655069</v>
      </c>
      <c r="I45" s="218">
        <f t="shared" si="10"/>
        <v>-960.67152558027146</v>
      </c>
      <c r="J45" s="218">
        <f t="shared" si="10"/>
        <v>912.29756820404191</v>
      </c>
      <c r="K45" s="218">
        <f t="shared" si="10"/>
        <v>-4498.6168574963622</v>
      </c>
      <c r="L45" s="218">
        <f t="shared" si="10"/>
        <v>3377.3323445487963</v>
      </c>
      <c r="M45" s="218">
        <f t="shared" si="10"/>
        <v>3760.6616915502227</v>
      </c>
      <c r="N45" s="218">
        <f t="shared" si="10"/>
        <v>-10062.688814995525</v>
      </c>
      <c r="O45" s="218">
        <f t="shared" si="10"/>
        <v>1562.155908744091</v>
      </c>
      <c r="P45" s="221">
        <f t="shared" si="10"/>
        <v>8833.1193082051323</v>
      </c>
      <c r="Q45" s="217">
        <f>SUM(E45:P45)</f>
        <v>-7181.9979699656178</v>
      </c>
      <c r="R45" s="216"/>
    </row>
    <row r="46" spans="2:20" s="150" customFormat="1" ht="12.75">
      <c r="B46" s="225" t="s">
        <v>128</v>
      </c>
      <c r="C46" s="224"/>
      <c r="D46" s="224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6"/>
      <c r="R46" s="216"/>
    </row>
    <row r="47" spans="2:20" s="150" customFormat="1" ht="12.75">
      <c r="B47" s="225" t="s">
        <v>129</v>
      </c>
      <c r="C47" s="224"/>
      <c r="D47" s="224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2"/>
      <c r="R47" s="221"/>
    </row>
    <row r="48" spans="2:20" s="150" customFormat="1" ht="12.75">
      <c r="B48" s="220" t="s">
        <v>278</v>
      </c>
      <c r="C48" s="219"/>
      <c r="D48" s="219"/>
      <c r="E48" s="218">
        <f t="shared" ref="E48:P48" si="11">SUM(E44:E47)</f>
        <v>9633.8804454212222</v>
      </c>
      <c r="F48" s="218">
        <f t="shared" si="11"/>
        <v>-25783.426238723005</v>
      </c>
      <c r="G48" s="218">
        <f t="shared" si="11"/>
        <v>4979.7480264813366</v>
      </c>
      <c r="H48" s="218">
        <f t="shared" si="11"/>
        <v>-1362.5895970217489</v>
      </c>
      <c r="I48" s="218">
        <f t="shared" si="11"/>
        <v>111.90479441404591</v>
      </c>
      <c r="J48" s="218">
        <f t="shared" si="11"/>
        <v>2569.5036323082913</v>
      </c>
      <c r="K48" s="218">
        <f t="shared" si="11"/>
        <v>-3179.643829329435</v>
      </c>
      <c r="L48" s="218">
        <f t="shared" si="11"/>
        <v>3178.7382549003182</v>
      </c>
      <c r="M48" s="218">
        <f t="shared" si="11"/>
        <v>7459.8490826869456</v>
      </c>
      <c r="N48" s="218">
        <f t="shared" si="11"/>
        <v>-15064.921215259947</v>
      </c>
      <c r="O48" s="218">
        <f t="shared" si="11"/>
        <v>-1960.3385636460207</v>
      </c>
      <c r="P48" s="218">
        <f t="shared" si="11"/>
        <v>11941.640540588898</v>
      </c>
      <c r="Q48" s="217">
        <f>SUM(E48:P48)</f>
        <v>-7475.6546671790966</v>
      </c>
      <c r="R48" s="216"/>
    </row>
    <row r="49" spans="2:19" s="150" customFormat="1" ht="13.5" thickBot="1">
      <c r="B49" s="215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3"/>
      <c r="R49" s="212"/>
    </row>
    <row r="50" spans="2:19" s="150" customFormat="1" ht="13.5" thickBot="1">
      <c r="B50" s="486" t="s">
        <v>279</v>
      </c>
      <c r="C50" s="211"/>
      <c r="D50" s="211"/>
      <c r="E50" s="210">
        <f t="shared" ref="E50:P50" si="12">E34+E41+E48</f>
        <v>30371.731242934686</v>
      </c>
      <c r="F50" s="210">
        <f t="shared" si="12"/>
        <v>-72036.375649351918</v>
      </c>
      <c r="G50" s="210">
        <f t="shared" si="12"/>
        <v>15017.775911256207</v>
      </c>
      <c r="H50" s="210">
        <f t="shared" si="12"/>
        <v>-6728.5372218474322</v>
      </c>
      <c r="I50" s="210">
        <f t="shared" si="12"/>
        <v>138.17116899026411</v>
      </c>
      <c r="J50" s="210">
        <f t="shared" si="12"/>
        <v>12487.320294645606</v>
      </c>
      <c r="K50" s="210">
        <f t="shared" si="12"/>
        <v>-38952.25997725765</v>
      </c>
      <c r="L50" s="210">
        <f t="shared" si="12"/>
        <v>-1390.5660408240205</v>
      </c>
      <c r="M50" s="210">
        <f t="shared" si="12"/>
        <v>31673.633609316006</v>
      </c>
      <c r="N50" s="210">
        <f t="shared" si="12"/>
        <v>-69832.272187272625</v>
      </c>
      <c r="O50" s="210">
        <f t="shared" si="12"/>
        <v>-10596.760978157881</v>
      </c>
      <c r="P50" s="210">
        <f t="shared" si="12"/>
        <v>28168.921930608198</v>
      </c>
      <c r="Q50" s="209">
        <f>SUM(E50:P50)</f>
        <v>-81679.217896960559</v>
      </c>
      <c r="R50" s="208">
        <f>Q34+Q41+Q48-Q50</f>
        <v>0</v>
      </c>
    </row>
    <row r="51" spans="2:19">
      <c r="B51" s="652"/>
      <c r="C51" s="651" t="s">
        <v>280</v>
      </c>
      <c r="D51" s="651"/>
      <c r="E51" s="650">
        <f t="shared" ref="E51:Q51" si="13">E50/E24</f>
        <v>0.67935344800442377</v>
      </c>
      <c r="F51" s="650">
        <f t="shared" si="13"/>
        <v>0.75997974769560728</v>
      </c>
      <c r="G51" s="650">
        <f t="shared" si="13"/>
        <v>0.70939390235223476</v>
      </c>
      <c r="H51" s="650">
        <f t="shared" si="13"/>
        <v>0.48563050642637795</v>
      </c>
      <c r="I51" s="650">
        <f t="shared" si="13"/>
        <v>-5.7938437666477417E-2</v>
      </c>
      <c r="J51" s="650">
        <f t="shared" si="13"/>
        <v>0.6638165316348601</v>
      </c>
      <c r="K51" s="650">
        <f t="shared" si="13"/>
        <v>2.8930857185408612</v>
      </c>
      <c r="L51" s="650">
        <f t="shared" si="13"/>
        <v>-0.27252342553315512</v>
      </c>
      <c r="M51" s="650">
        <f t="shared" si="13"/>
        <v>1.1551882708057846</v>
      </c>
      <c r="N51" s="650">
        <f t="shared" si="13"/>
        <v>1.3892545086316719</v>
      </c>
      <c r="O51" s="650">
        <f t="shared" si="13"/>
        <v>0.5825132994165495</v>
      </c>
      <c r="P51" s="650">
        <f t="shared" si="13"/>
        <v>0.85607673244460725</v>
      </c>
      <c r="Q51" s="649">
        <f t="shared" si="13"/>
        <v>1.9068449311553486</v>
      </c>
      <c r="R51" s="648"/>
    </row>
    <row r="53" spans="2:19">
      <c r="E53" s="647"/>
      <c r="F53" s="647"/>
      <c r="G53" s="647"/>
    </row>
    <row r="55" spans="2:19"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</row>
    <row r="56" spans="2:19">
      <c r="E56" s="647"/>
    </row>
    <row r="57" spans="2:19">
      <c r="E57" s="647"/>
    </row>
  </sheetData>
  <mergeCells count="1">
    <mergeCell ref="U10:V10"/>
  </mergeCells>
  <conditionalFormatting sqref="E20:Q51">
    <cfRule type="cellIs" dxfId="0" priority="1" operator="lessThan">
      <formula>0</formula>
    </cfRule>
  </conditionalFormatting>
  <pageMargins left="0.17" right="0.17" top="0.65" bottom="0.35" header="0.3" footer="0.18"/>
  <pageSetup scale="59" orientation="landscape" r:id="rId1"/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2:P28"/>
  <sheetViews>
    <sheetView workbookViewId="0">
      <selection activeCell="M26" sqref="M26"/>
    </sheetView>
  </sheetViews>
  <sheetFormatPr defaultColWidth="9.140625" defaultRowHeight="12.75" customHeight="1"/>
  <cols>
    <col min="1" max="1" width="23.140625" style="68" customWidth="1"/>
    <col min="2" max="2" width="8.85546875" style="68" customWidth="1"/>
    <col min="3" max="8" width="7.85546875" style="68" customWidth="1"/>
    <col min="9" max="13" width="7.85546875" style="68" bestFit="1" customWidth="1"/>
    <col min="14" max="14" width="9.5703125" style="68" bestFit="1" customWidth="1"/>
    <col min="15" max="15" width="10" style="68" customWidth="1"/>
    <col min="16" max="16" width="8" style="68" bestFit="1" customWidth="1"/>
    <col min="17" max="17" width="14.140625" style="68" customWidth="1"/>
    <col min="18" max="16384" width="9.140625" style="68"/>
  </cols>
  <sheetData>
    <row r="2" spans="1:16" ht="12.75" customHeight="1">
      <c r="A2" s="301" t="s">
        <v>281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299" t="s">
        <v>282</v>
      </c>
    </row>
    <row r="3" spans="1:16" ht="12.75" customHeight="1">
      <c r="A3" s="298" t="s">
        <v>283</v>
      </c>
      <c r="B3" s="297">
        <v>43101</v>
      </c>
      <c r="C3" s="297">
        <v>43132</v>
      </c>
      <c r="D3" s="297">
        <v>43160</v>
      </c>
      <c r="E3" s="297">
        <v>43191</v>
      </c>
      <c r="F3" s="297">
        <v>43221</v>
      </c>
      <c r="G3" s="297">
        <v>43252</v>
      </c>
      <c r="H3" s="297">
        <v>43282</v>
      </c>
      <c r="I3" s="297">
        <v>43313</v>
      </c>
      <c r="J3" s="297">
        <v>43344</v>
      </c>
      <c r="K3" s="297">
        <v>43374</v>
      </c>
      <c r="L3" s="297">
        <v>43405</v>
      </c>
      <c r="M3" s="297">
        <v>43435</v>
      </c>
      <c r="N3" s="205" t="s">
        <v>284</v>
      </c>
      <c r="O3" s="296" t="s">
        <v>285</v>
      </c>
      <c r="P3" s="96" t="s">
        <v>286</v>
      </c>
    </row>
    <row r="4" spans="1:16" ht="12.75" customHeight="1">
      <c r="A4" s="68" t="s">
        <v>287</v>
      </c>
      <c r="B4" s="293">
        <v>3.3491249999999995</v>
      </c>
      <c r="C4" s="293">
        <v>3.149445312500001</v>
      </c>
      <c r="D4" s="293">
        <v>2.8578671874999997</v>
      </c>
      <c r="E4" s="293">
        <v>1.9732218750000003</v>
      </c>
      <c r="F4" s="293">
        <v>1.93933125</v>
      </c>
      <c r="G4" s="293">
        <v>1.9329249999999996</v>
      </c>
      <c r="H4" s="293">
        <v>2.1768312499999998</v>
      </c>
      <c r="I4" s="293">
        <v>2.1711749999999999</v>
      </c>
      <c r="J4" s="293">
        <v>2.1715343750000002</v>
      </c>
      <c r="K4" s="293">
        <v>2.2027687499999993</v>
      </c>
      <c r="L4" s="293">
        <v>2.6822828125</v>
      </c>
      <c r="M4" s="293">
        <v>3.1127906250000015</v>
      </c>
      <c r="N4" s="293">
        <f>AVERAGE(B4:M4)</f>
        <v>2.4766082031250005</v>
      </c>
      <c r="O4" s="294">
        <v>2.4766082031250005</v>
      </c>
      <c r="P4" s="293">
        <f t="shared" ref="P4:P13" si="0">N4-O4</f>
        <v>0</v>
      </c>
    </row>
    <row r="5" spans="1:16" ht="12.75" customHeight="1">
      <c r="A5" s="68" t="s">
        <v>288</v>
      </c>
      <c r="B5" s="293">
        <v>3.2467249999999996</v>
      </c>
      <c r="C5" s="293">
        <v>3.1278453124999999</v>
      </c>
      <c r="D5" s="293">
        <v>2.8983671874999994</v>
      </c>
      <c r="E5" s="293">
        <v>2.0411265624999997</v>
      </c>
      <c r="F5" s="293">
        <v>2.0619328124999998</v>
      </c>
      <c r="G5" s="293">
        <v>2.1006234375000004</v>
      </c>
      <c r="H5" s="293">
        <v>2.3501343750000006</v>
      </c>
      <c r="I5" s="293">
        <v>2.3175734374999997</v>
      </c>
      <c r="J5" s="293">
        <v>2.2542359374999998</v>
      </c>
      <c r="K5" s="293">
        <v>2.2410734374999999</v>
      </c>
      <c r="L5" s="293">
        <v>2.5511843749999996</v>
      </c>
      <c r="M5" s="293">
        <v>2.8332906250000001</v>
      </c>
      <c r="N5" s="293">
        <f>AVERAGE(B5:M5)</f>
        <v>2.5020093749999996</v>
      </c>
      <c r="O5" s="294">
        <v>2.5020093749999996</v>
      </c>
      <c r="P5" s="293">
        <f t="shared" si="0"/>
        <v>0</v>
      </c>
    </row>
    <row r="6" spans="1:16" ht="12.75" customHeight="1">
      <c r="A6" s="68" t="s">
        <v>289</v>
      </c>
      <c r="B6" s="293">
        <v>2.3787109375000002</v>
      </c>
      <c r="C6" s="293">
        <v>2.3930265624999998</v>
      </c>
      <c r="D6" s="293">
        <v>2.3234968749999996</v>
      </c>
      <c r="E6" s="293">
        <v>1.8681390625000009</v>
      </c>
      <c r="F6" s="293">
        <v>1.8216656249999998</v>
      </c>
      <c r="G6" s="293">
        <v>1.833175</v>
      </c>
      <c r="H6" s="293">
        <v>1.8480062500000001</v>
      </c>
      <c r="I6" s="293">
        <v>1.8513593749999999</v>
      </c>
      <c r="J6" s="293">
        <v>1.8438562500000002</v>
      </c>
      <c r="K6" s="293">
        <v>1.8838015625000004</v>
      </c>
      <c r="L6" s="293">
        <v>1.9850984375</v>
      </c>
      <c r="M6" s="293">
        <v>2.116154687499999</v>
      </c>
      <c r="N6" s="293">
        <f>AVERAGE(B6:M6)</f>
        <v>2.0122075520833338</v>
      </c>
      <c r="O6" s="294">
        <v>2.0122075520833338</v>
      </c>
      <c r="P6" s="293">
        <f t="shared" si="0"/>
        <v>0</v>
      </c>
    </row>
    <row r="7" spans="1:16" ht="12.75" customHeight="1">
      <c r="A7" s="303" t="s">
        <v>290</v>
      </c>
      <c r="B7" s="302">
        <v>2.6594410757793412</v>
      </c>
      <c r="C7" s="302">
        <v>2.4678036595630917</v>
      </c>
      <c r="D7" s="302">
        <v>2.322688769560199</v>
      </c>
      <c r="E7" s="302">
        <v>1.4162669619324477</v>
      </c>
      <c r="F7" s="302">
        <v>1.6246878366746877</v>
      </c>
      <c r="G7" s="302">
        <v>1.688446287982396</v>
      </c>
      <c r="H7" s="302">
        <v>1.8630207208728378</v>
      </c>
      <c r="I7" s="302">
        <v>1.8553572565387892</v>
      </c>
      <c r="J7" s="302">
        <v>1.6128651594349961</v>
      </c>
      <c r="K7" s="302">
        <v>1.5162024223029471</v>
      </c>
      <c r="L7" s="302">
        <v>1.878207036101041</v>
      </c>
      <c r="M7" s="302">
        <v>2.225343993981054</v>
      </c>
      <c r="N7" s="293"/>
      <c r="O7" s="294"/>
      <c r="P7" s="293">
        <f t="shared" si="0"/>
        <v>0</v>
      </c>
    </row>
    <row r="8" spans="1:16" ht="12.75" customHeight="1">
      <c r="A8" s="68" t="s">
        <v>291</v>
      </c>
      <c r="B8" s="295">
        <v>34.045053749999994</v>
      </c>
      <c r="C8" s="295">
        <v>35.170966125</v>
      </c>
      <c r="D8" s="295">
        <v>28.825612250000006</v>
      </c>
      <c r="E8" s="295">
        <v>21.7515362625</v>
      </c>
      <c r="F8" s="295">
        <v>17.015506125000002</v>
      </c>
      <c r="G8" s="295">
        <v>16.053236750000003</v>
      </c>
      <c r="H8" s="295">
        <v>25.632518624999996</v>
      </c>
      <c r="I8" s="295">
        <v>29.315684375</v>
      </c>
      <c r="J8" s="295">
        <v>27.769526750000004</v>
      </c>
      <c r="K8" s="295">
        <v>28.22509462499999</v>
      </c>
      <c r="L8" s="295">
        <v>29.12060537499999</v>
      </c>
      <c r="M8" s="295">
        <v>32.551146374999995</v>
      </c>
      <c r="N8" s="293">
        <f>AVERAGE(B8:M8)</f>
        <v>27.123040615624991</v>
      </c>
      <c r="O8" s="294">
        <v>27.123040615624991</v>
      </c>
      <c r="P8" s="293">
        <f t="shared" si="0"/>
        <v>0</v>
      </c>
    </row>
    <row r="9" spans="1:16" ht="12.75" customHeight="1">
      <c r="A9" s="68" t="s">
        <v>292</v>
      </c>
      <c r="B9" s="295">
        <v>25.590654374999996</v>
      </c>
      <c r="C9" s="295">
        <v>26.782428124999996</v>
      </c>
      <c r="D9" s="295">
        <v>21.965167924999996</v>
      </c>
      <c r="E9" s="295">
        <v>16.142145987499994</v>
      </c>
      <c r="F9" s="295">
        <v>8.6546641500000003</v>
      </c>
      <c r="G9" s="295">
        <v>7.8136203375000024</v>
      </c>
      <c r="H9" s="295">
        <v>15.538220362499995</v>
      </c>
      <c r="I9" s="295">
        <v>17.927879875000002</v>
      </c>
      <c r="J9" s="295">
        <v>19.663487624999995</v>
      </c>
      <c r="K9" s="295">
        <v>20.323763</v>
      </c>
      <c r="L9" s="295">
        <v>21.692575125000005</v>
      </c>
      <c r="M9" s="295">
        <v>24.747964624999998</v>
      </c>
      <c r="N9" s="293">
        <f>AVERAGE(B9:M9)</f>
        <v>18.903547626041668</v>
      </c>
      <c r="O9" s="294">
        <v>18.903547626041668</v>
      </c>
      <c r="P9" s="293">
        <f t="shared" si="0"/>
        <v>0</v>
      </c>
    </row>
    <row r="10" spans="1:16" ht="12.75" customHeight="1">
      <c r="A10" s="68" t="s">
        <v>293</v>
      </c>
      <c r="B10" s="295">
        <v>30.499660124999991</v>
      </c>
      <c r="C10" s="295">
        <v>31.575878624999994</v>
      </c>
      <c r="D10" s="295">
        <v>25.948652150000004</v>
      </c>
      <c r="E10" s="295">
        <v>19.258473912499994</v>
      </c>
      <c r="F10" s="295">
        <v>13.509346212500001</v>
      </c>
      <c r="G10" s="295">
        <v>12.5742879875</v>
      </c>
      <c r="H10" s="295">
        <v>21.182343749999998</v>
      </c>
      <c r="I10" s="295">
        <v>24.540153</v>
      </c>
      <c r="J10" s="295">
        <v>24.166843374999999</v>
      </c>
      <c r="K10" s="295">
        <v>24.911633499999994</v>
      </c>
      <c r="L10" s="295">
        <v>25.984326500000009</v>
      </c>
      <c r="M10" s="295">
        <v>29.111033624999997</v>
      </c>
      <c r="N10" s="293">
        <f>AVERAGE(B10:M10)</f>
        <v>23.605219396875</v>
      </c>
      <c r="O10" s="294">
        <v>23.605219396875</v>
      </c>
      <c r="P10" s="293">
        <f t="shared" si="0"/>
        <v>0</v>
      </c>
    </row>
    <row r="11" spans="1:16" ht="12.75" customHeight="1">
      <c r="A11" s="68" t="s">
        <v>294</v>
      </c>
      <c r="B11" s="292">
        <f t="shared" ref="B11:N11" si="1">B8/B4</f>
        <v>10.165357742693987</v>
      </c>
      <c r="C11" s="292">
        <f t="shared" si="1"/>
        <v>11.167352544718932</v>
      </c>
      <c r="D11" s="292">
        <f t="shared" si="1"/>
        <v>10.086407225668184</v>
      </c>
      <c r="E11" s="292">
        <f t="shared" si="1"/>
        <v>11.023360595219428</v>
      </c>
      <c r="F11" s="292">
        <f t="shared" si="1"/>
        <v>8.7739039552938678</v>
      </c>
      <c r="G11" s="292">
        <f t="shared" si="1"/>
        <v>8.3051524244344748</v>
      </c>
      <c r="H11" s="292">
        <f t="shared" si="1"/>
        <v>11.775151897970961</v>
      </c>
      <c r="I11" s="292">
        <f t="shared" si="1"/>
        <v>13.502220859672759</v>
      </c>
      <c r="J11" s="292">
        <f t="shared" si="1"/>
        <v>12.787974747118614</v>
      </c>
      <c r="K11" s="292">
        <f t="shared" si="1"/>
        <v>12.813462432223082</v>
      </c>
      <c r="L11" s="292">
        <f t="shared" si="1"/>
        <v>10.856649880203484</v>
      </c>
      <c r="M11" s="292">
        <f t="shared" si="1"/>
        <v>10.457223211085704</v>
      </c>
      <c r="N11" s="292">
        <f t="shared" si="1"/>
        <v>10.951688111749352</v>
      </c>
      <c r="O11" s="291">
        <v>10.951688111749352</v>
      </c>
      <c r="P11" s="81">
        <f t="shared" si="0"/>
        <v>0</v>
      </c>
    </row>
    <row r="12" spans="1:16" ht="12.75" customHeight="1">
      <c r="A12" s="68" t="s">
        <v>295</v>
      </c>
      <c r="B12" s="292">
        <f t="shared" ref="B12:N12" si="2">B9/B4</f>
        <v>7.640997088791849</v>
      </c>
      <c r="C12" s="292">
        <f t="shared" si="2"/>
        <v>8.5038555896499588</v>
      </c>
      <c r="D12" s="292">
        <f t="shared" si="2"/>
        <v>7.6858602880754052</v>
      </c>
      <c r="E12" s="292">
        <f t="shared" si="2"/>
        <v>8.1806036067282051</v>
      </c>
      <c r="F12" s="292">
        <f t="shared" si="2"/>
        <v>4.462705455811121</v>
      </c>
      <c r="G12" s="292">
        <f t="shared" si="2"/>
        <v>4.0423815396355289</v>
      </c>
      <c r="H12" s="292">
        <f t="shared" si="2"/>
        <v>7.1379994946783301</v>
      </c>
      <c r="I12" s="292">
        <f t="shared" si="2"/>
        <v>8.2572247170311019</v>
      </c>
      <c r="J12" s="292">
        <f t="shared" si="2"/>
        <v>9.0551122981877707</v>
      </c>
      <c r="K12" s="292">
        <f t="shared" si="2"/>
        <v>9.2264623783136592</v>
      </c>
      <c r="L12" s="292">
        <f t="shared" si="2"/>
        <v>8.0873556747663073</v>
      </c>
      <c r="M12" s="292">
        <f t="shared" si="2"/>
        <v>7.9504109355250918</v>
      </c>
      <c r="N12" s="292">
        <f t="shared" si="2"/>
        <v>7.6328373628856783</v>
      </c>
      <c r="O12" s="291">
        <v>7.6328373628856783</v>
      </c>
      <c r="P12" s="81">
        <f t="shared" si="0"/>
        <v>0</v>
      </c>
    </row>
    <row r="13" spans="1:16" ht="12.75" customHeight="1">
      <c r="A13" s="68" t="s">
        <v>296</v>
      </c>
      <c r="B13" s="292">
        <f t="shared" ref="B13:N13" si="3">B10/B4</f>
        <v>9.1067547866980174</v>
      </c>
      <c r="C13" s="292">
        <f t="shared" si="3"/>
        <v>10.025853917728563</v>
      </c>
      <c r="D13" s="292">
        <f t="shared" si="3"/>
        <v>9.07972639998688</v>
      </c>
      <c r="E13" s="292">
        <f t="shared" si="3"/>
        <v>9.7599130419634079</v>
      </c>
      <c r="F13" s="292">
        <f t="shared" si="3"/>
        <v>6.9659818107401721</v>
      </c>
      <c r="G13" s="292">
        <f t="shared" si="3"/>
        <v>6.5053160301098094</v>
      </c>
      <c r="H13" s="292">
        <f t="shared" si="3"/>
        <v>9.7308157212461914</v>
      </c>
      <c r="I13" s="292">
        <f t="shared" si="3"/>
        <v>11.302706138381293</v>
      </c>
      <c r="J13" s="292">
        <f t="shared" si="3"/>
        <v>11.128925083214488</v>
      </c>
      <c r="K13" s="292">
        <f t="shared" si="3"/>
        <v>11.309236841134595</v>
      </c>
      <c r="L13" s="292">
        <f t="shared" si="3"/>
        <v>9.6873925370239125</v>
      </c>
      <c r="M13" s="292">
        <f t="shared" si="3"/>
        <v>9.3520692947345232</v>
      </c>
      <c r="N13" s="292">
        <f t="shared" si="3"/>
        <v>9.5312691636447706</v>
      </c>
      <c r="O13" s="291">
        <v>9.5312691636447706</v>
      </c>
      <c r="P13" s="81">
        <f t="shared" si="0"/>
        <v>0</v>
      </c>
    </row>
    <row r="14" spans="1:16" ht="12.75" customHeight="1">
      <c r="A14" s="290" t="s">
        <v>297</v>
      </c>
    </row>
    <row r="16" spans="1:16" ht="12.75" customHeight="1">
      <c r="A16" s="301" t="s">
        <v>492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299" t="s">
        <v>282</v>
      </c>
    </row>
    <row r="17" spans="1:16" ht="12.75" customHeight="1">
      <c r="A17" s="298" t="s">
        <v>283</v>
      </c>
      <c r="B17" s="297">
        <v>43952</v>
      </c>
      <c r="C17" s="297">
        <v>43983</v>
      </c>
      <c r="D17" s="297">
        <v>44013</v>
      </c>
      <c r="E17" s="297">
        <v>44044</v>
      </c>
      <c r="F17" s="297">
        <v>44075</v>
      </c>
      <c r="G17" s="297">
        <v>44105</v>
      </c>
      <c r="H17" s="297">
        <v>44136</v>
      </c>
      <c r="I17" s="297">
        <v>44166</v>
      </c>
      <c r="J17" s="297">
        <v>44197</v>
      </c>
      <c r="K17" s="297">
        <v>44228</v>
      </c>
      <c r="L17" s="297">
        <v>44256</v>
      </c>
      <c r="M17" s="297">
        <v>44287</v>
      </c>
      <c r="N17" s="205" t="s">
        <v>284</v>
      </c>
      <c r="O17" s="296" t="s">
        <v>285</v>
      </c>
      <c r="P17" s="96" t="s">
        <v>286</v>
      </c>
    </row>
    <row r="18" spans="1:16" ht="12.75" customHeight="1">
      <c r="A18" s="68" t="s">
        <v>287</v>
      </c>
      <c r="B18" s="293">
        <v>1.318095238095238</v>
      </c>
      <c r="C18" s="293">
        <v>1.3834920634920629</v>
      </c>
      <c r="D18" s="293">
        <v>1.9220634920634916</v>
      </c>
      <c r="E18" s="293">
        <v>1.9826984126984122</v>
      </c>
      <c r="F18" s="293">
        <v>1.9082539682539681</v>
      </c>
      <c r="G18" s="293">
        <v>1.8353968253968254</v>
      </c>
      <c r="H18" s="293">
        <v>2.5922222222222229</v>
      </c>
      <c r="I18" s="293">
        <v>3.2595238095238108</v>
      </c>
      <c r="J18" s="293">
        <v>3.1384126984126981</v>
      </c>
      <c r="K18" s="293">
        <v>2.8222222222222233</v>
      </c>
      <c r="L18" s="293">
        <v>2.3980952380952383</v>
      </c>
      <c r="M18" s="293">
        <v>1.4965079365079363</v>
      </c>
      <c r="N18" s="293">
        <f t="shared" ref="N18:N24" si="4">AVERAGE(B18:M18)</f>
        <v>2.1714153439153439</v>
      </c>
      <c r="O18" s="294">
        <v>2.1714153439153439</v>
      </c>
      <c r="P18" s="293">
        <f t="shared" ref="P18:P27" si="5">N18-O18</f>
        <v>0</v>
      </c>
    </row>
    <row r="19" spans="1:16" ht="12.75" customHeight="1">
      <c r="A19" s="68" t="s">
        <v>288</v>
      </c>
      <c r="B19" s="293">
        <v>1.5173015873015872</v>
      </c>
      <c r="C19" s="293">
        <v>1.5300000000000002</v>
      </c>
      <c r="D19" s="293">
        <v>1.8907936507936505</v>
      </c>
      <c r="E19" s="293">
        <v>1.8979365079365087</v>
      </c>
      <c r="F19" s="293">
        <v>1.8738095238095251</v>
      </c>
      <c r="G19" s="293">
        <v>1.7222222222222221</v>
      </c>
      <c r="H19" s="293">
        <v>2.1590476190476195</v>
      </c>
      <c r="I19" s="293">
        <v>2.376984126984127</v>
      </c>
      <c r="J19" s="293">
        <v>2.4593650793650803</v>
      </c>
      <c r="K19" s="293">
        <v>2.4138095238095243</v>
      </c>
      <c r="L19" s="293">
        <v>2.2595238095238095</v>
      </c>
      <c r="M19" s="293">
        <v>1.6098412698412696</v>
      </c>
      <c r="N19" s="293">
        <f t="shared" si="4"/>
        <v>1.9758862433862434</v>
      </c>
      <c r="O19" s="294">
        <v>1.9758862433862434</v>
      </c>
      <c r="P19" s="293">
        <f t="shared" si="5"/>
        <v>0</v>
      </c>
    </row>
    <row r="20" spans="1:16" ht="12.75" customHeight="1">
      <c r="A20" s="68" t="s">
        <v>289</v>
      </c>
      <c r="B20" s="293">
        <v>1.196984126984127</v>
      </c>
      <c r="C20" s="293">
        <v>1.1858730158730157</v>
      </c>
      <c r="D20" s="293">
        <v>1.2212698412698417</v>
      </c>
      <c r="E20" s="293">
        <v>1.245714285714286</v>
      </c>
      <c r="F20" s="293">
        <v>1.2580952380952379</v>
      </c>
      <c r="G20" s="293">
        <v>1.3331746031746032</v>
      </c>
      <c r="H20" s="293">
        <v>1.4368253968253966</v>
      </c>
      <c r="I20" s="293">
        <v>1.6249206349206353</v>
      </c>
      <c r="J20" s="293">
        <v>1.73015873015873</v>
      </c>
      <c r="K20" s="293">
        <v>1.6711111111111103</v>
      </c>
      <c r="L20" s="293">
        <v>1.5309523809523813</v>
      </c>
      <c r="M20" s="293">
        <v>1.304603174603175</v>
      </c>
      <c r="N20" s="293">
        <f t="shared" si="4"/>
        <v>1.394973544973545</v>
      </c>
      <c r="O20" s="294">
        <v>1.394973544973545</v>
      </c>
      <c r="P20" s="293">
        <f t="shared" si="5"/>
        <v>0</v>
      </c>
    </row>
    <row r="21" spans="1:16" ht="12.75" customHeight="1">
      <c r="A21" s="93" t="s">
        <v>290</v>
      </c>
      <c r="B21" s="295">
        <v>1.1942701921959691</v>
      </c>
      <c r="C21" s="295">
        <v>1.2717871637683684</v>
      </c>
      <c r="D21" s="295">
        <v>1.2965870320489274</v>
      </c>
      <c r="E21" s="295">
        <v>1.2523098039936946</v>
      </c>
      <c r="F21" s="295">
        <v>1.249050712000336</v>
      </c>
      <c r="G21" s="295">
        <v>1.3528168006869701</v>
      </c>
      <c r="H21" s="295">
        <v>1.6162755023319182</v>
      </c>
      <c r="I21" s="295">
        <v>1.7264180075198152</v>
      </c>
      <c r="J21" s="295">
        <v>1.8368753902563117</v>
      </c>
      <c r="K21" s="295">
        <v>1.8312849845150443</v>
      </c>
      <c r="L21" s="295">
        <v>1.6830173368991259</v>
      </c>
      <c r="M21" s="295">
        <v>1.410845803251435</v>
      </c>
      <c r="N21" s="293">
        <f t="shared" si="4"/>
        <v>1.4767948941223261</v>
      </c>
      <c r="O21" s="294">
        <v>1.4767948941223261</v>
      </c>
      <c r="P21" s="293">
        <f t="shared" si="5"/>
        <v>0</v>
      </c>
    </row>
    <row r="22" spans="1:16" ht="12.75" customHeight="1">
      <c r="A22" s="68" t="s">
        <v>291</v>
      </c>
      <c r="B22" s="295">
        <v>8.4230049999999999</v>
      </c>
      <c r="C22" s="295">
        <v>12.25109</v>
      </c>
      <c r="D22" s="295">
        <v>20.92483</v>
      </c>
      <c r="E22" s="295">
        <v>25.998853700000002</v>
      </c>
      <c r="F22" s="295">
        <v>26.605541200000001</v>
      </c>
      <c r="G22" s="295">
        <v>24.187948200000001</v>
      </c>
      <c r="H22" s="295">
        <v>24.5888271</v>
      </c>
      <c r="I22" s="295">
        <v>32.828472099999999</v>
      </c>
      <c r="J22" s="295">
        <v>28.209617600000001</v>
      </c>
      <c r="K22" s="295">
        <v>27.0621738</v>
      </c>
      <c r="L22" s="295">
        <v>20.421489999999999</v>
      </c>
      <c r="M22" s="295">
        <v>16.0191154</v>
      </c>
      <c r="N22" s="293">
        <f t="shared" si="4"/>
        <v>22.293413675</v>
      </c>
      <c r="O22" s="294">
        <v>22.293413675</v>
      </c>
      <c r="P22" s="293">
        <f t="shared" si="5"/>
        <v>0</v>
      </c>
    </row>
    <row r="23" spans="1:16" ht="12.75" customHeight="1">
      <c r="A23" s="68" t="s">
        <v>292</v>
      </c>
      <c r="B23" s="295">
        <v>7.7165879999999998</v>
      </c>
      <c r="C23" s="295">
        <v>10.311844799999999</v>
      </c>
      <c r="D23" s="295">
        <v>19.430809</v>
      </c>
      <c r="E23" s="295">
        <v>21.675302500000001</v>
      </c>
      <c r="F23" s="295">
        <v>21.9659443</v>
      </c>
      <c r="G23" s="295">
        <v>20.057495100000001</v>
      </c>
      <c r="H23" s="295">
        <v>20.499690000000001</v>
      </c>
      <c r="I23" s="295">
        <v>25.909538300000001</v>
      </c>
      <c r="J23" s="295">
        <v>23.575520000000001</v>
      </c>
      <c r="K23" s="295">
        <v>22.830380000000002</v>
      </c>
      <c r="L23" s="295">
        <v>18.039370000000002</v>
      </c>
      <c r="M23" s="295">
        <v>15.2924395</v>
      </c>
      <c r="N23" s="293">
        <f t="shared" si="4"/>
        <v>18.942076791666668</v>
      </c>
      <c r="O23" s="294">
        <v>18.942076791666668</v>
      </c>
      <c r="P23" s="293">
        <f t="shared" si="5"/>
        <v>0</v>
      </c>
    </row>
    <row r="24" spans="1:16" ht="12.75" customHeight="1">
      <c r="A24" s="68" t="s">
        <v>293</v>
      </c>
      <c r="B24" s="295">
        <v>8.1115739999999992</v>
      </c>
      <c r="C24" s="295">
        <v>11.432297699999999</v>
      </c>
      <c r="D24" s="295">
        <v>20.298303600000001</v>
      </c>
      <c r="E24" s="295">
        <v>24.092771500000001</v>
      </c>
      <c r="F24" s="295">
        <v>24.646599999999999</v>
      </c>
      <c r="G24" s="295">
        <v>22.455822000000001</v>
      </c>
      <c r="H24" s="295">
        <v>22.771432900000001</v>
      </c>
      <c r="I24" s="295">
        <v>29.9269848</v>
      </c>
      <c r="J24" s="295">
        <v>26.166627900000002</v>
      </c>
      <c r="K24" s="295">
        <v>25.248548499999998</v>
      </c>
      <c r="L24" s="295">
        <v>19.422534899999999</v>
      </c>
      <c r="M24" s="295">
        <v>15.712296500000001</v>
      </c>
      <c r="N24" s="293">
        <f t="shared" si="4"/>
        <v>20.857149524999997</v>
      </c>
      <c r="O24" s="294">
        <v>20.857149524999997</v>
      </c>
      <c r="P24" s="293">
        <f t="shared" si="5"/>
        <v>0</v>
      </c>
    </row>
    <row r="25" spans="1:16" ht="12.75" customHeight="1">
      <c r="A25" s="68" t="s">
        <v>294</v>
      </c>
      <c r="B25" s="292">
        <f t="shared" ref="B25:N25" si="6">B22/B18</f>
        <v>6.3902855852601164</v>
      </c>
      <c r="C25" s="292">
        <f t="shared" si="6"/>
        <v>8.8551935520881173</v>
      </c>
      <c r="D25" s="292">
        <f t="shared" si="6"/>
        <v>10.886648691056243</v>
      </c>
      <c r="E25" s="292">
        <f t="shared" si="6"/>
        <v>13.112863526539112</v>
      </c>
      <c r="F25" s="292">
        <f t="shared" si="6"/>
        <v>13.942348158376312</v>
      </c>
      <c r="G25" s="292">
        <f t="shared" si="6"/>
        <v>13.178593242238174</v>
      </c>
      <c r="H25" s="292">
        <f t="shared" si="6"/>
        <v>9.4856169695670793</v>
      </c>
      <c r="I25" s="292">
        <f t="shared" si="6"/>
        <v>10.071554625273919</v>
      </c>
      <c r="J25" s="292">
        <f t="shared" si="6"/>
        <v>8.9884984260570508</v>
      </c>
      <c r="K25" s="292">
        <f t="shared" si="6"/>
        <v>9.5889592204724377</v>
      </c>
      <c r="L25" s="292">
        <f t="shared" si="6"/>
        <v>8.5157126687847491</v>
      </c>
      <c r="M25" s="292">
        <f t="shared" si="6"/>
        <v>10.704330400933392</v>
      </c>
      <c r="N25" s="292">
        <f t="shared" si="6"/>
        <v>10.266766207335571</v>
      </c>
      <c r="O25" s="291">
        <v>10.266766207335571</v>
      </c>
      <c r="P25" s="81">
        <f t="shared" si="5"/>
        <v>0</v>
      </c>
    </row>
    <row r="26" spans="1:16" ht="12.75" customHeight="1">
      <c r="A26" s="68" t="s">
        <v>295</v>
      </c>
      <c r="B26" s="292">
        <f t="shared" ref="B26:N26" si="7">B23/B18</f>
        <v>5.8543478323699425</v>
      </c>
      <c r="C26" s="292">
        <f t="shared" si="7"/>
        <v>7.4534903900871985</v>
      </c>
      <c r="D26" s="292">
        <f t="shared" si="7"/>
        <v>10.109348146007104</v>
      </c>
      <c r="E26" s="292">
        <f t="shared" si="7"/>
        <v>10.93222366103595</v>
      </c>
      <c r="F26" s="292">
        <f t="shared" si="7"/>
        <v>11.511017225919149</v>
      </c>
      <c r="G26" s="292">
        <f t="shared" si="7"/>
        <v>10.928151788463202</v>
      </c>
      <c r="H26" s="292">
        <f t="shared" si="7"/>
        <v>7.9081530218602643</v>
      </c>
      <c r="I26" s="292">
        <f t="shared" si="7"/>
        <v>7.9488722322863374</v>
      </c>
      <c r="J26" s="292">
        <f t="shared" si="7"/>
        <v>7.5119247420594792</v>
      </c>
      <c r="K26" s="292">
        <f t="shared" si="7"/>
        <v>8.089504724409446</v>
      </c>
      <c r="L26" s="292">
        <f t="shared" si="7"/>
        <v>7.5223743050039715</v>
      </c>
      <c r="M26" s="292">
        <f t="shared" si="7"/>
        <v>10.218749347687741</v>
      </c>
      <c r="N26" s="292">
        <f t="shared" si="7"/>
        <v>8.7233779777532767</v>
      </c>
      <c r="O26" s="291">
        <v>8.7233779777532767</v>
      </c>
      <c r="P26" s="81">
        <f t="shared" si="5"/>
        <v>0</v>
      </c>
    </row>
    <row r="27" spans="1:16" ht="12.75" customHeight="1">
      <c r="A27" s="68" t="s">
        <v>296</v>
      </c>
      <c r="B27" s="292">
        <f t="shared" ref="B27:N27" si="8">B24/B18</f>
        <v>6.1540120664739879</v>
      </c>
      <c r="C27" s="292">
        <f t="shared" si="8"/>
        <v>8.2633634132629687</v>
      </c>
      <c r="D27" s="292">
        <f t="shared" si="8"/>
        <v>10.560683184408294</v>
      </c>
      <c r="E27" s="292">
        <f t="shared" si="8"/>
        <v>12.151505920262593</v>
      </c>
      <c r="F27" s="292">
        <f t="shared" si="8"/>
        <v>12.915786058892031</v>
      </c>
      <c r="G27" s="292">
        <f t="shared" si="8"/>
        <v>12.234859344460782</v>
      </c>
      <c r="H27" s="292">
        <f t="shared" si="8"/>
        <v>8.7845219074153427</v>
      </c>
      <c r="I27" s="292">
        <f t="shared" si="8"/>
        <v>9.1813978203067901</v>
      </c>
      <c r="J27" s="292">
        <f t="shared" si="8"/>
        <v>8.3375356954278796</v>
      </c>
      <c r="K27" s="292">
        <f t="shared" si="8"/>
        <v>8.9463360826771616</v>
      </c>
      <c r="L27" s="292">
        <f t="shared" si="8"/>
        <v>8.0991507724384419</v>
      </c>
      <c r="M27" s="292">
        <f t="shared" si="8"/>
        <v>10.499307164828172</v>
      </c>
      <c r="N27" s="292">
        <f t="shared" si="8"/>
        <v>9.6053247405868696</v>
      </c>
      <c r="O27" s="291">
        <v>9.6053247405868696</v>
      </c>
      <c r="P27" s="81">
        <f t="shared" si="5"/>
        <v>0</v>
      </c>
    </row>
    <row r="28" spans="1:16" ht="12.75" customHeight="1">
      <c r="A28" s="290" t="s">
        <v>515</v>
      </c>
    </row>
  </sheetData>
  <pageMargins left="0.67" right="0.01" top="0.6" bottom="0.41" header="0.3" footer="0.16"/>
  <pageSetup scale="65" orientation="landscape" r:id="rId1"/>
  <headerFooter>
    <oddFooter>&amp;L&amp;F&amp;C&amp;A&amp;R
&amp;D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"/>
  <sheetViews>
    <sheetView workbookViewId="0">
      <selection activeCell="M26" sqref="M26"/>
    </sheetView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V3954"/>
  <sheetViews>
    <sheetView zoomScale="80" zoomScaleNormal="80" workbookViewId="0">
      <pane xSplit="4" ySplit="5" topLeftCell="E69" activePane="bottomRight" state="frozen"/>
      <selection activeCell="M26" sqref="M26"/>
      <selection pane="topRight" activeCell="M26" sqref="M26"/>
      <selection pane="bottomLeft" activeCell="M26" sqref="M26"/>
      <selection pane="bottomRight" activeCell="M26" sqref="M26"/>
    </sheetView>
  </sheetViews>
  <sheetFormatPr defaultColWidth="9.140625" defaultRowHeight="12.75"/>
  <cols>
    <col min="1" max="1" width="5.140625" style="305" customWidth="1"/>
    <col min="2" max="2" width="45.140625" style="304" customWidth="1"/>
    <col min="3" max="3" width="12.5703125" style="304" customWidth="1"/>
    <col min="4" max="4" width="2.5703125" style="304" customWidth="1"/>
    <col min="5" max="5" width="15.5703125" style="304" customWidth="1"/>
    <col min="6" max="6" width="15.42578125" style="304" customWidth="1"/>
    <col min="7" max="7" width="16.140625" style="304" customWidth="1"/>
    <col min="8" max="8" width="14.85546875" style="304" customWidth="1"/>
    <col min="9" max="9" width="15.42578125" style="304" customWidth="1"/>
    <col min="10" max="10" width="16.42578125" style="304" bestFit="1" customWidth="1"/>
    <col min="11" max="11" width="16" style="304" customWidth="1"/>
    <col min="12" max="12" width="15.85546875" style="304" customWidth="1"/>
    <col min="13" max="13" width="15.42578125" style="304" customWidth="1"/>
    <col min="14" max="14" width="16" style="304" customWidth="1"/>
    <col min="15" max="16" width="14.85546875" style="304" customWidth="1"/>
    <col min="17" max="17" width="17.42578125" style="304" customWidth="1"/>
    <col min="18" max="18" width="30.42578125" style="304" customWidth="1"/>
    <col min="19" max="19" width="6" style="304" customWidth="1"/>
    <col min="20" max="20" width="10.85546875" style="304" bestFit="1" customWidth="1"/>
    <col min="21" max="21" width="44" style="304" bestFit="1" customWidth="1"/>
    <col min="22" max="22" width="14" style="304" bestFit="1" customWidth="1"/>
    <col min="23" max="23" width="4.85546875" style="304" bestFit="1" customWidth="1"/>
    <col min="24" max="16384" width="9.140625" style="304"/>
  </cols>
  <sheetData>
    <row r="1" spans="1:22" ht="18">
      <c r="B1" s="393" t="s">
        <v>532</v>
      </c>
      <c r="F1" s="392"/>
    </row>
    <row r="2" spans="1:22" ht="18">
      <c r="B2" s="391" t="s">
        <v>47</v>
      </c>
      <c r="F2" s="68"/>
      <c r="G2" s="332"/>
    </row>
    <row r="3" spans="1:22" ht="15.75">
      <c r="A3" s="389"/>
      <c r="B3" s="391" t="s">
        <v>46</v>
      </c>
      <c r="D3" s="305"/>
      <c r="E3" s="92"/>
      <c r="F3" s="390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09"/>
    </row>
    <row r="4" spans="1:22" ht="15.75">
      <c r="A4" s="389"/>
      <c r="B4" s="803" t="s">
        <v>45</v>
      </c>
      <c r="D4" s="305"/>
      <c r="E4" s="92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388" t="s">
        <v>44</v>
      </c>
      <c r="R4" s="109"/>
    </row>
    <row r="5" spans="1:22">
      <c r="A5" s="305" t="s">
        <v>43</v>
      </c>
      <c r="B5" s="387"/>
      <c r="D5" s="386"/>
      <c r="E5" s="385">
        <f>'Summary Normalization'!B2</f>
        <v>44197</v>
      </c>
      <c r="F5" s="385">
        <f>'Summary Normalization'!C2</f>
        <v>44228</v>
      </c>
      <c r="G5" s="385">
        <f>'Summary Normalization'!D2</f>
        <v>44256</v>
      </c>
      <c r="H5" s="385">
        <f>'Summary Normalization'!E2</f>
        <v>44287</v>
      </c>
      <c r="I5" s="385">
        <f>'Summary Normalization'!F2</f>
        <v>44317</v>
      </c>
      <c r="J5" s="385">
        <f>'Summary Normalization'!G2</f>
        <v>44348</v>
      </c>
      <c r="K5" s="385">
        <f>'Summary Normalization'!H2</f>
        <v>44013</v>
      </c>
      <c r="L5" s="385">
        <f>'Summary Normalization'!I2</f>
        <v>44044</v>
      </c>
      <c r="M5" s="385">
        <f>'Summary Normalization'!J2</f>
        <v>44075</v>
      </c>
      <c r="N5" s="385">
        <f>'Summary Normalization'!K2</f>
        <v>44105</v>
      </c>
      <c r="O5" s="385">
        <f>'Summary Normalization'!L2</f>
        <v>44136</v>
      </c>
      <c r="P5" s="385">
        <f>'Summary Normalization'!M2</f>
        <v>44166</v>
      </c>
      <c r="Q5" s="384" t="s">
        <v>42</v>
      </c>
      <c r="R5" s="98" t="s">
        <v>41</v>
      </c>
    </row>
    <row r="7" spans="1:22" ht="15">
      <c r="A7" s="305">
        <f>ROW()</f>
        <v>7</v>
      </c>
      <c r="B7" s="304" t="s">
        <v>40</v>
      </c>
      <c r="C7" s="383" t="s">
        <v>39</v>
      </c>
      <c r="D7" s="81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47"/>
      <c r="S7" s="109"/>
      <c r="V7" s="81"/>
    </row>
    <row r="8" spans="1:22" ht="13.7" customHeight="1">
      <c r="A8" s="305">
        <f>ROW()</f>
        <v>8</v>
      </c>
      <c r="B8" s="376" t="s">
        <v>298</v>
      </c>
      <c r="C8" s="375">
        <v>501</v>
      </c>
      <c r="D8" s="81"/>
      <c r="E8" s="342">
        <v>4938590</v>
      </c>
      <c r="F8" s="342">
        <v>4729962</v>
      </c>
      <c r="G8" s="342">
        <v>4636765.87</v>
      </c>
      <c r="H8" s="342">
        <v>2024201</v>
      </c>
      <c r="I8" s="342">
        <v>2457921</v>
      </c>
      <c r="J8" s="342">
        <v>2541909</v>
      </c>
      <c r="K8" s="329">
        <f>+'Actuals 12MOE Jun-21'!M29</f>
        <v>3430890</v>
      </c>
      <c r="L8" s="329">
        <f>+'Actuals 12MOE Jun-21'!N29</f>
        <v>4306028</v>
      </c>
      <c r="M8" s="329">
        <f>+'Actuals 12MOE Jun-21'!O29</f>
        <v>2607492</v>
      </c>
      <c r="N8" s="329">
        <f>+'Actuals 12MOE Jun-21'!P29</f>
        <v>1880330</v>
      </c>
      <c r="O8" s="329">
        <f>+'Actuals 12MOE Jun-21'!Q29</f>
        <v>2788425</v>
      </c>
      <c r="P8" s="329">
        <f>+'Actuals 12MOE Jun-21'!R29</f>
        <v>4138567</v>
      </c>
      <c r="Q8" s="329">
        <f t="shared" ref="Q8:Q15" si="0">SUM(E8:P8)</f>
        <v>40481080.870000005</v>
      </c>
      <c r="R8" s="361" t="s">
        <v>27</v>
      </c>
      <c r="S8" s="109" t="s">
        <v>37</v>
      </c>
      <c r="T8" s="125" t="s">
        <v>36</v>
      </c>
      <c r="V8" s="81"/>
    </row>
    <row r="9" spans="1:22" ht="13.7" customHeight="1">
      <c r="A9" s="305">
        <f>ROW()</f>
        <v>9</v>
      </c>
      <c r="B9" s="376" t="s">
        <v>35</v>
      </c>
      <c r="C9" s="375">
        <v>547</v>
      </c>
      <c r="D9" s="81"/>
      <c r="E9" s="84">
        <v>12597693</v>
      </c>
      <c r="F9" s="84">
        <v>15807355</v>
      </c>
      <c r="G9" s="84">
        <v>17707240.420000002</v>
      </c>
      <c r="H9" s="84">
        <v>16390690</v>
      </c>
      <c r="I9" s="84">
        <v>13705037</v>
      </c>
      <c r="J9" s="84">
        <v>19328766</v>
      </c>
      <c r="K9" s="373">
        <f>+'Actuals 12MOE Jun-21'!M30</f>
        <v>10379809</v>
      </c>
      <c r="L9" s="373">
        <f>+'Actuals 12MOE Jun-21'!N30</f>
        <v>15354867</v>
      </c>
      <c r="M9" s="373">
        <f>+'Actuals 12MOE Jun-21'!O30</f>
        <v>18202197</v>
      </c>
      <c r="N9" s="373">
        <f>+'Actuals 12MOE Jun-21'!P30</f>
        <v>13410645</v>
      </c>
      <c r="O9" s="373">
        <f>+'Actuals 12MOE Jun-21'!Q30</f>
        <v>10522990</v>
      </c>
      <c r="P9" s="373">
        <f>+'Actuals 12MOE Jun-21'!R30</f>
        <v>15486073</v>
      </c>
      <c r="Q9" s="373">
        <f t="shared" si="0"/>
        <v>178893362.42000002</v>
      </c>
      <c r="R9" s="361" t="s">
        <v>27</v>
      </c>
      <c r="S9" s="109"/>
      <c r="V9" s="81"/>
    </row>
    <row r="10" spans="1:22" s="308" customFormat="1" ht="13.7" customHeight="1">
      <c r="A10" s="305">
        <f>ROW()</f>
        <v>10</v>
      </c>
      <c r="B10" s="381" t="s">
        <v>299</v>
      </c>
      <c r="C10" s="379">
        <v>555</v>
      </c>
      <c r="D10" s="378"/>
      <c r="E10" s="84">
        <v>54206749</v>
      </c>
      <c r="F10" s="84">
        <v>53927440.539999999</v>
      </c>
      <c r="G10" s="84">
        <v>45249291.780000001</v>
      </c>
      <c r="H10" s="84">
        <v>32041904</v>
      </c>
      <c r="I10" s="84">
        <v>34534046</v>
      </c>
      <c r="J10" s="84">
        <v>49826771</v>
      </c>
      <c r="K10" s="373">
        <f>+'Actuals 12MOE Jun-21'!M31</f>
        <v>29072562</v>
      </c>
      <c r="L10" s="373">
        <f>+'Actuals 12MOE Jun-21'!N31</f>
        <v>28507990</v>
      </c>
      <c r="M10" s="373">
        <f>+'Actuals 12MOE Jun-21'!O31</f>
        <v>25399615</v>
      </c>
      <c r="N10" s="373">
        <f>+'Actuals 12MOE Jun-21'!P31</f>
        <v>47010071</v>
      </c>
      <c r="O10" s="373">
        <f>+'Actuals 12MOE Jun-21'!Q31</f>
        <v>55615132</v>
      </c>
      <c r="P10" s="373">
        <f>+'Actuals 12MOE Jun-21'!R31</f>
        <v>62112180</v>
      </c>
      <c r="Q10" s="373">
        <f t="shared" si="0"/>
        <v>517503752.31999999</v>
      </c>
      <c r="R10" s="361" t="s">
        <v>27</v>
      </c>
      <c r="S10" s="143"/>
      <c r="V10" s="378"/>
    </row>
    <row r="11" spans="1:22" ht="13.7" customHeight="1">
      <c r="A11" s="305">
        <f>ROW()</f>
        <v>11</v>
      </c>
      <c r="B11" s="376" t="s">
        <v>300</v>
      </c>
      <c r="C11" s="379" t="s">
        <v>32</v>
      </c>
      <c r="D11" s="81"/>
      <c r="E11" s="84">
        <v>-3067458</v>
      </c>
      <c r="F11" s="84">
        <v>-3950358</v>
      </c>
      <c r="G11" s="84">
        <v>-1355716.28</v>
      </c>
      <c r="H11" s="84">
        <v>-807053</v>
      </c>
      <c r="I11" s="84">
        <v>-568246</v>
      </c>
      <c r="J11" s="84">
        <v>-232821</v>
      </c>
      <c r="K11" s="373">
        <f>+'Actuals 12MOE Jun-21'!M32</f>
        <v>1075862</v>
      </c>
      <c r="L11" s="373">
        <f>+'Actuals 12MOE Jun-21'!N32</f>
        <v>-705579</v>
      </c>
      <c r="M11" s="373">
        <f>+'Actuals 12MOE Jun-21'!O32</f>
        <v>-864707</v>
      </c>
      <c r="N11" s="373">
        <f>+'Actuals 12MOE Jun-21'!P32</f>
        <v>-4659330</v>
      </c>
      <c r="O11" s="373">
        <f>+'Actuals 12MOE Jun-21'!Q32</f>
        <v>-3230298</v>
      </c>
      <c r="P11" s="373">
        <f>+'Actuals 12MOE Jun-21'!R32</f>
        <v>-2946292</v>
      </c>
      <c r="Q11" s="373">
        <f t="shared" si="0"/>
        <v>-21311996.280000001</v>
      </c>
      <c r="R11" s="361" t="s">
        <v>27</v>
      </c>
      <c r="S11" s="109"/>
      <c r="V11" s="81"/>
    </row>
    <row r="12" spans="1:22" ht="13.7" customHeight="1">
      <c r="A12" s="305">
        <f>ROW()</f>
        <v>12</v>
      </c>
      <c r="B12" s="376" t="s">
        <v>72</v>
      </c>
      <c r="C12" s="379">
        <v>447</v>
      </c>
      <c r="D12" s="81"/>
      <c r="E12" s="84">
        <v>38562</v>
      </c>
      <c r="F12" s="84">
        <v>27838</v>
      </c>
      <c r="G12" s="84">
        <v>28549.17</v>
      </c>
      <c r="H12" s="84">
        <v>44238</v>
      </c>
      <c r="I12" s="84">
        <v>64367</v>
      </c>
      <c r="J12" s="84">
        <v>87418</v>
      </c>
      <c r="K12" s="373">
        <f>+'Actuals 12MOE Jun-21'!M33</f>
        <v>27667</v>
      </c>
      <c r="L12" s="373">
        <f>+'Actuals 12MOE Jun-21'!N33</f>
        <v>35774</v>
      </c>
      <c r="M12" s="373">
        <f>+'Actuals 12MOE Jun-21'!O33</f>
        <v>37379</v>
      </c>
      <c r="N12" s="373">
        <f>+'Actuals 12MOE Jun-21'!P33</f>
        <v>46143</v>
      </c>
      <c r="O12" s="373">
        <f>+'Actuals 12MOE Jun-21'!Q33</f>
        <v>15068</v>
      </c>
      <c r="P12" s="373">
        <f>+'Actuals 12MOE Jun-21'!R33</f>
        <v>56156</v>
      </c>
      <c r="Q12" s="373">
        <f t="shared" si="0"/>
        <v>509159.17</v>
      </c>
      <c r="R12" s="361" t="s">
        <v>27</v>
      </c>
      <c r="S12" s="109"/>
      <c r="V12" s="81"/>
    </row>
    <row r="13" spans="1:22" ht="13.7" customHeight="1">
      <c r="A13" s="305">
        <f>ROW()</f>
        <v>13</v>
      </c>
      <c r="B13" s="376" t="s">
        <v>29</v>
      </c>
      <c r="C13" s="379">
        <v>565</v>
      </c>
      <c r="D13" s="81"/>
      <c r="E13" s="84">
        <v>-3529515</v>
      </c>
      <c r="F13" s="84">
        <v>-9117869</v>
      </c>
      <c r="G13" s="84">
        <v>-6066218.5499999998</v>
      </c>
      <c r="H13" s="84">
        <v>-6512202</v>
      </c>
      <c r="I13" s="84">
        <v>-5805811</v>
      </c>
      <c r="J13" s="84">
        <v>-13652436</v>
      </c>
      <c r="K13" s="373">
        <f>+'Actuals 12MOE Jun-21'!M34</f>
        <v>-4443361</v>
      </c>
      <c r="L13" s="373">
        <f>+'Actuals 12MOE Jun-21'!N34</f>
        <v>-8051102</v>
      </c>
      <c r="M13" s="373">
        <f>+'Actuals 12MOE Jun-21'!O34</f>
        <v>-7762358</v>
      </c>
      <c r="N13" s="373">
        <f>+'Actuals 12MOE Jun-21'!P34</f>
        <v>-10184780</v>
      </c>
      <c r="O13" s="373">
        <f>+'Actuals 12MOE Jun-21'!Q34</f>
        <v>-3416085</v>
      </c>
      <c r="P13" s="373">
        <f>+'Actuals 12MOE Jun-21'!R34</f>
        <v>-5535588</v>
      </c>
      <c r="Q13" s="373">
        <f t="shared" si="0"/>
        <v>-84077325.549999997</v>
      </c>
      <c r="R13" s="361" t="s">
        <v>27</v>
      </c>
      <c r="S13" s="109"/>
      <c r="V13" s="81"/>
    </row>
    <row r="14" spans="1:22" ht="13.7" customHeight="1">
      <c r="A14" s="305">
        <f>ROW()</f>
        <v>14</v>
      </c>
      <c r="B14" s="376" t="s">
        <v>31</v>
      </c>
      <c r="C14" s="379">
        <v>55700003</v>
      </c>
      <c r="D14" s="81"/>
      <c r="E14" s="84">
        <v>10030707</v>
      </c>
      <c r="F14" s="84">
        <v>10678976</v>
      </c>
      <c r="G14" s="84">
        <v>10393021.07</v>
      </c>
      <c r="H14" s="84">
        <v>10518588</v>
      </c>
      <c r="I14" s="84">
        <v>10399039</v>
      </c>
      <c r="J14" s="84">
        <v>10461282</v>
      </c>
      <c r="K14" s="373">
        <f>'Actuals 12MOE Jun-21'!M35</f>
        <v>10265944</v>
      </c>
      <c r="L14" s="373">
        <f>'Actuals 12MOE Jun-21'!N35</f>
        <v>10157236</v>
      </c>
      <c r="M14" s="373">
        <f>'Actuals 12MOE Jun-21'!O35</f>
        <v>10340223</v>
      </c>
      <c r="N14" s="373">
        <f>'Actuals 12MOE Jun-21'!P35</f>
        <v>10506869</v>
      </c>
      <c r="O14" s="373">
        <f>'Actuals 12MOE Jun-21'!Q35</f>
        <v>10209634</v>
      </c>
      <c r="P14" s="373">
        <f>'Actuals 12MOE Jun-21'!R35</f>
        <v>9812150</v>
      </c>
      <c r="Q14" s="373">
        <f t="shared" si="0"/>
        <v>123773669.06999999</v>
      </c>
      <c r="R14" s="361" t="s">
        <v>27</v>
      </c>
      <c r="S14" s="109"/>
      <c r="V14" s="81"/>
    </row>
    <row r="15" spans="1:22" s="308" customFormat="1" ht="13.7" customHeight="1">
      <c r="A15" s="305">
        <f>ROW()</f>
        <v>15</v>
      </c>
      <c r="B15" s="380" t="s">
        <v>28</v>
      </c>
      <c r="C15" s="379">
        <v>40810005</v>
      </c>
      <c r="D15" s="378"/>
      <c r="E15" s="84">
        <v>-10927</v>
      </c>
      <c r="F15" s="84">
        <v>60005</v>
      </c>
      <c r="G15" s="84">
        <v>60004</v>
      </c>
      <c r="H15" s="84">
        <v>58056</v>
      </c>
      <c r="I15" s="84">
        <v>63426</v>
      </c>
      <c r="J15" s="84">
        <v>55608</v>
      </c>
      <c r="K15" s="373">
        <f>'Actuals 12MOE Jun-21'!M36</f>
        <v>76129</v>
      </c>
      <c r="L15" s="373">
        <f>'Actuals 12MOE Jun-21'!N36</f>
        <v>73978</v>
      </c>
      <c r="M15" s="373">
        <f>'Actuals 12MOE Jun-21'!O36</f>
        <v>73978</v>
      </c>
      <c r="N15" s="373">
        <f>'Actuals 12MOE Jun-21'!P36</f>
        <v>41727</v>
      </c>
      <c r="O15" s="373">
        <f>'Actuals 12MOE Jun-21'!Q36</f>
        <v>41727</v>
      </c>
      <c r="P15" s="373">
        <f>'Actuals 12MOE Jun-21'!R36</f>
        <v>41726</v>
      </c>
      <c r="Q15" s="373">
        <f t="shared" si="0"/>
        <v>635437</v>
      </c>
      <c r="R15" s="361" t="s">
        <v>27</v>
      </c>
      <c r="S15" s="143"/>
      <c r="V15" s="378"/>
    </row>
    <row r="16" spans="1:22">
      <c r="A16" s="305">
        <f>ROW()</f>
        <v>16</v>
      </c>
      <c r="B16" s="376" t="s">
        <v>26</v>
      </c>
      <c r="C16" s="375"/>
      <c r="D16" s="81"/>
      <c r="E16" s="377">
        <f t="shared" ref="E16:Q16" si="1">SUM(E8:E15)</f>
        <v>75204401</v>
      </c>
      <c r="F16" s="377">
        <f t="shared" si="1"/>
        <v>72163349.539999992</v>
      </c>
      <c r="G16" s="377">
        <f t="shared" si="1"/>
        <v>70652937.480000019</v>
      </c>
      <c r="H16" s="377">
        <f t="shared" si="1"/>
        <v>53758422</v>
      </c>
      <c r="I16" s="377">
        <f t="shared" si="1"/>
        <v>54849779</v>
      </c>
      <c r="J16" s="377">
        <f t="shared" si="1"/>
        <v>68416497</v>
      </c>
      <c r="K16" s="377">
        <f t="shared" si="1"/>
        <v>49885502</v>
      </c>
      <c r="L16" s="377">
        <f t="shared" si="1"/>
        <v>49679192</v>
      </c>
      <c r="M16" s="377">
        <f t="shared" si="1"/>
        <v>48033819</v>
      </c>
      <c r="N16" s="377">
        <f t="shared" si="1"/>
        <v>58051675</v>
      </c>
      <c r="O16" s="377">
        <f t="shared" si="1"/>
        <v>72546593</v>
      </c>
      <c r="P16" s="377">
        <f t="shared" si="1"/>
        <v>83164972</v>
      </c>
      <c r="Q16" s="377">
        <f t="shared" si="1"/>
        <v>756407139.01999998</v>
      </c>
      <c r="R16" s="361"/>
      <c r="S16" s="109"/>
    </row>
    <row r="17" spans="1:19">
      <c r="A17" s="305">
        <f>ROW()</f>
        <v>17</v>
      </c>
      <c r="B17" s="376"/>
      <c r="C17" s="375"/>
      <c r="D17" s="81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3"/>
      <c r="R17" s="361"/>
      <c r="S17" s="109"/>
    </row>
    <row r="18" spans="1:19">
      <c r="A18" s="305">
        <f>ROW()</f>
        <v>18</v>
      </c>
      <c r="B18" s="145" t="s">
        <v>301</v>
      </c>
      <c r="C18" s="81"/>
      <c r="D18" s="81"/>
      <c r="E18" s="114"/>
      <c r="F18" s="114"/>
      <c r="G18" s="114"/>
      <c r="H18" s="114"/>
      <c r="I18" s="114"/>
      <c r="J18" s="138"/>
      <c r="K18" s="114"/>
      <c r="L18" s="114"/>
      <c r="M18" s="114"/>
      <c r="N18" s="138"/>
      <c r="O18" s="138"/>
      <c r="P18" s="138"/>
      <c r="Q18" s="138"/>
      <c r="R18" s="361"/>
      <c r="S18" s="109"/>
    </row>
    <row r="19" spans="1:19" ht="25.5">
      <c r="A19" s="305">
        <f>ROW()</f>
        <v>19</v>
      </c>
      <c r="B19" s="304" t="s">
        <v>25</v>
      </c>
      <c r="C19" s="338"/>
      <c r="D19" s="338"/>
      <c r="E19" s="366">
        <v>347746</v>
      </c>
      <c r="F19" s="366">
        <v>314092.79999999999</v>
      </c>
      <c r="G19" s="366">
        <v>347278.2</v>
      </c>
      <c r="H19" s="366">
        <v>336528</v>
      </c>
      <c r="I19" s="366">
        <v>347745.6</v>
      </c>
      <c r="J19" s="366">
        <v>336528</v>
      </c>
      <c r="K19" s="372">
        <v>421253</v>
      </c>
      <c r="L19" s="372">
        <v>421253</v>
      </c>
      <c r="M19" s="372">
        <v>407664</v>
      </c>
      <c r="N19" s="372">
        <v>380942</v>
      </c>
      <c r="O19" s="372">
        <v>336995</v>
      </c>
      <c r="P19" s="372">
        <v>346665</v>
      </c>
      <c r="Q19" s="359">
        <f>SUM(E19:P19)</f>
        <v>4344690.5999999996</v>
      </c>
      <c r="R19" s="347" t="s">
        <v>24</v>
      </c>
      <c r="S19" s="109" t="s">
        <v>23</v>
      </c>
    </row>
    <row r="20" spans="1:19">
      <c r="A20" s="305">
        <v>20</v>
      </c>
      <c r="B20" s="68" t="s">
        <v>22</v>
      </c>
      <c r="C20" s="338"/>
      <c r="D20" s="338"/>
      <c r="E20" s="366">
        <v>283872</v>
      </c>
      <c r="F20" s="366">
        <v>283872</v>
      </c>
      <c r="G20" s="366">
        <v>283872</v>
      </c>
      <c r="H20" s="366">
        <v>283872</v>
      </c>
      <c r="I20" s="366">
        <v>283872</v>
      </c>
      <c r="J20" s="366">
        <v>283872</v>
      </c>
      <c r="K20" s="372">
        <v>616827</v>
      </c>
      <c r="L20" s="372">
        <v>616827</v>
      </c>
      <c r="M20" s="372">
        <v>616827</v>
      </c>
      <c r="N20" s="372">
        <v>434238.77419354842</v>
      </c>
      <c r="O20" s="372">
        <v>283872</v>
      </c>
      <c r="P20" s="372">
        <v>283872</v>
      </c>
      <c r="Q20" s="359">
        <f>SUM(E20:P20)</f>
        <v>4555695.7741935486</v>
      </c>
      <c r="R20" s="347"/>
      <c r="S20" s="109"/>
    </row>
    <row r="21" spans="1:19" ht="18" customHeight="1" thickBot="1">
      <c r="A21" s="305">
        <f>ROW()</f>
        <v>21</v>
      </c>
      <c r="B21" s="145" t="s">
        <v>21</v>
      </c>
      <c r="C21" s="371"/>
      <c r="D21" s="338"/>
      <c r="E21" s="351">
        <f t="shared" ref="E21:Q21" si="2">E16+E19+E20</f>
        <v>75836019</v>
      </c>
      <c r="F21" s="351">
        <f t="shared" si="2"/>
        <v>72761314.339999989</v>
      </c>
      <c r="G21" s="351">
        <f t="shared" si="2"/>
        <v>71284087.680000022</v>
      </c>
      <c r="H21" s="351">
        <f t="shared" si="2"/>
        <v>54378822</v>
      </c>
      <c r="I21" s="351">
        <f t="shared" si="2"/>
        <v>55481396.600000001</v>
      </c>
      <c r="J21" s="351">
        <f t="shared" si="2"/>
        <v>69036897</v>
      </c>
      <c r="K21" s="351">
        <f t="shared" si="2"/>
        <v>50923582</v>
      </c>
      <c r="L21" s="351">
        <f t="shared" si="2"/>
        <v>50717272</v>
      </c>
      <c r="M21" s="351">
        <f t="shared" si="2"/>
        <v>49058310</v>
      </c>
      <c r="N21" s="351">
        <f t="shared" si="2"/>
        <v>58866855.774193548</v>
      </c>
      <c r="O21" s="351">
        <f t="shared" si="2"/>
        <v>73167460</v>
      </c>
      <c r="P21" s="351">
        <f t="shared" si="2"/>
        <v>83795509</v>
      </c>
      <c r="Q21" s="351">
        <f t="shared" si="2"/>
        <v>765307525.39419353</v>
      </c>
      <c r="R21" s="347"/>
      <c r="S21" s="121" t="s">
        <v>20</v>
      </c>
    </row>
    <row r="22" spans="1:19">
      <c r="A22" s="305">
        <f>ROW()</f>
        <v>22</v>
      </c>
      <c r="B22" s="68"/>
      <c r="O22" s="370"/>
      <c r="S22" s="109"/>
    </row>
    <row r="23" spans="1:19">
      <c r="A23" s="305">
        <f>ROW()</f>
        <v>23</v>
      </c>
      <c r="B23" s="353"/>
      <c r="C23" s="338"/>
      <c r="D23" s="338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347"/>
      <c r="S23" s="109"/>
    </row>
    <row r="24" spans="1:19" ht="25.5">
      <c r="A24" s="305">
        <f>ROW()</f>
        <v>24</v>
      </c>
      <c r="B24" s="368" t="s">
        <v>531</v>
      </c>
      <c r="C24" s="338"/>
      <c r="D24" s="338"/>
      <c r="E24" s="369"/>
      <c r="F24" s="362"/>
      <c r="G24" s="362"/>
      <c r="H24" s="362"/>
      <c r="I24" s="362"/>
      <c r="J24" s="362"/>
      <c r="K24" s="362">
        <v>1531493834</v>
      </c>
      <c r="L24" s="362">
        <v>1532153178</v>
      </c>
      <c r="M24" s="362">
        <v>1417939075</v>
      </c>
      <c r="N24" s="362">
        <v>695995158</v>
      </c>
      <c r="O24" s="362"/>
      <c r="P24" s="362"/>
      <c r="Q24" s="354">
        <f>SUM(E24:P24)</f>
        <v>5177581245</v>
      </c>
      <c r="R24" s="347" t="s">
        <v>19</v>
      </c>
      <c r="S24" s="109" t="s">
        <v>18</v>
      </c>
    </row>
    <row r="25" spans="1:19" s="308" customFormat="1">
      <c r="A25" s="305">
        <f>ROW()</f>
        <v>25</v>
      </c>
      <c r="B25" s="368" t="s">
        <v>530</v>
      </c>
      <c r="C25" s="364"/>
      <c r="D25" s="364"/>
      <c r="E25" s="367">
        <v>2022779925</v>
      </c>
      <c r="F25" s="367">
        <v>2033112328</v>
      </c>
      <c r="G25" s="367">
        <v>1943792809</v>
      </c>
      <c r="H25" s="367">
        <v>1595775190</v>
      </c>
      <c r="I25" s="367">
        <v>1502441404</v>
      </c>
      <c r="J25" s="503">
        <v>1625496070</v>
      </c>
      <c r="K25" s="363"/>
      <c r="L25" s="362"/>
      <c r="M25" s="362"/>
      <c r="N25" s="362">
        <v>926848471</v>
      </c>
      <c r="O25" s="362">
        <v>1910188038</v>
      </c>
      <c r="P25" s="362">
        <v>2024906468</v>
      </c>
      <c r="Q25" s="354">
        <f>SUM(E25:P25)</f>
        <v>15585340703</v>
      </c>
      <c r="R25" s="361"/>
      <c r="S25" s="143"/>
    </row>
    <row r="26" spans="1:19" s="308" customFormat="1">
      <c r="A26" s="305">
        <v>26</v>
      </c>
      <c r="B26" s="365" t="s">
        <v>529</v>
      </c>
      <c r="C26" s="364"/>
      <c r="D26" s="364"/>
      <c r="E26" s="367">
        <v>-190082.54100000023</v>
      </c>
      <c r="F26" s="367">
        <v>-55692816.193999991</v>
      </c>
      <c r="G26" s="367">
        <v>-49427793.006000005</v>
      </c>
      <c r="H26" s="367">
        <v>-67173290.138999999</v>
      </c>
      <c r="I26" s="367">
        <v>-39886487</v>
      </c>
      <c r="J26" s="503">
        <v>-61005813</v>
      </c>
      <c r="K26" s="363"/>
      <c r="L26" s="362"/>
      <c r="M26" s="362"/>
      <c r="N26" s="362"/>
      <c r="O26" s="362"/>
      <c r="P26" s="362"/>
      <c r="Q26" s="354"/>
      <c r="R26" s="361"/>
      <c r="S26" s="143"/>
    </row>
    <row r="27" spans="1:19" s="308" customFormat="1">
      <c r="A27" s="305">
        <v>27</v>
      </c>
      <c r="B27" s="365" t="s">
        <v>528</v>
      </c>
      <c r="C27" s="364"/>
      <c r="D27" s="364"/>
      <c r="E27" s="502">
        <v>2.6558147892791716E-2</v>
      </c>
      <c r="F27" s="502">
        <v>2.4690728730128703E-2</v>
      </c>
      <c r="G27" s="502">
        <v>1.835486817035091E-2</v>
      </c>
      <c r="H27" s="502">
        <v>1.4678002269552836E-2</v>
      </c>
      <c r="I27" s="502">
        <v>8.1699075012145773E-3</v>
      </c>
      <c r="J27" s="502">
        <v>1.3142982776423777E-2</v>
      </c>
      <c r="K27" s="363"/>
      <c r="L27" s="362"/>
      <c r="M27" s="362"/>
      <c r="N27" s="362"/>
      <c r="O27" s="362"/>
      <c r="P27" s="362"/>
      <c r="Q27" s="354"/>
      <c r="R27" s="361"/>
      <c r="S27" s="143"/>
    </row>
    <row r="28" spans="1:19">
      <c r="A28" s="305">
        <f>ROW()</f>
        <v>28</v>
      </c>
      <c r="B28" s="145" t="s">
        <v>17</v>
      </c>
      <c r="C28" s="355"/>
      <c r="D28" s="338"/>
      <c r="M28" s="337"/>
      <c r="P28" s="93"/>
      <c r="Q28" s="337"/>
      <c r="R28" s="347"/>
      <c r="S28" s="109"/>
    </row>
    <row r="29" spans="1:19" ht="26.25">
      <c r="A29" s="305">
        <f>ROW()</f>
        <v>29</v>
      </c>
      <c r="B29" s="357" t="s">
        <v>527</v>
      </c>
      <c r="C29" s="501">
        <v>3.3034000000000001E-2</v>
      </c>
      <c r="D29" s="81"/>
      <c r="E29" s="337">
        <f t="shared" ref="E29:N29" si="3">E24*$C$29</f>
        <v>0</v>
      </c>
      <c r="F29" s="337">
        <f t="shared" si="3"/>
        <v>0</v>
      </c>
      <c r="G29" s="337">
        <f t="shared" si="3"/>
        <v>0</v>
      </c>
      <c r="H29" s="337">
        <f t="shared" si="3"/>
        <v>0</v>
      </c>
      <c r="I29" s="337">
        <f t="shared" si="3"/>
        <v>0</v>
      </c>
      <c r="J29" s="337">
        <f t="shared" si="3"/>
        <v>0</v>
      </c>
      <c r="K29" s="337">
        <f t="shared" si="3"/>
        <v>50591367.312356003</v>
      </c>
      <c r="L29" s="337">
        <f t="shared" si="3"/>
        <v>50613148.082052</v>
      </c>
      <c r="M29" s="337">
        <f t="shared" si="3"/>
        <v>46840199.403549999</v>
      </c>
      <c r="N29" s="337">
        <f t="shared" si="3"/>
        <v>22991504.049371999</v>
      </c>
      <c r="O29" s="337"/>
      <c r="P29" s="337"/>
      <c r="Q29" s="359">
        <f>SUM(E29:P29)</f>
        <v>171036218.84733</v>
      </c>
      <c r="R29" s="347" t="s">
        <v>16</v>
      </c>
      <c r="S29" s="121" t="s">
        <v>15</v>
      </c>
    </row>
    <row r="30" spans="1:19" ht="15">
      <c r="B30" s="357" t="s">
        <v>526</v>
      </c>
      <c r="C30" s="501">
        <v>3.4752999999999999E-2</v>
      </c>
      <c r="D30" s="81"/>
      <c r="E30" s="342">
        <f t="shared" ref="E30:J30" si="4">E25*$C$30</f>
        <v>70297670.733524993</v>
      </c>
      <c r="F30" s="342">
        <f t="shared" si="4"/>
        <v>70656752.734983996</v>
      </c>
      <c r="G30" s="342">
        <f t="shared" si="4"/>
        <v>67552631.491176993</v>
      </c>
      <c r="H30" s="342">
        <f t="shared" si="4"/>
        <v>55457975.178070001</v>
      </c>
      <c r="I30" s="342">
        <f t="shared" si="4"/>
        <v>52214346.113211997</v>
      </c>
      <c r="J30" s="342">
        <f t="shared" si="4"/>
        <v>56490864.920709997</v>
      </c>
      <c r="K30" s="337"/>
      <c r="L30" s="337"/>
      <c r="M30" s="337"/>
      <c r="N30" s="337">
        <f>N25*$C$30</f>
        <v>32210764.912662998</v>
      </c>
      <c r="O30" s="337">
        <f>O25*$C$30</f>
        <v>66384764.884613998</v>
      </c>
      <c r="P30" s="337">
        <f>P25*$C$30</f>
        <v>70371574.482403994</v>
      </c>
      <c r="Q30" s="359">
        <f>SUM(E30:P30)</f>
        <v>541637345.45135891</v>
      </c>
      <c r="R30" s="347"/>
      <c r="S30" s="121"/>
    </row>
    <row r="31" spans="1:19" ht="15">
      <c r="A31" s="305">
        <v>31</v>
      </c>
      <c r="B31" s="360" t="s">
        <v>525</v>
      </c>
      <c r="C31" s="501"/>
      <c r="D31" s="81"/>
      <c r="E31" s="329"/>
      <c r="F31" s="329"/>
      <c r="G31" s="329"/>
      <c r="H31" s="329"/>
      <c r="I31" s="342">
        <f>SUMPRODUCT(E26:H26,E27:H27)</f>
        <v>-3273354.786788784</v>
      </c>
      <c r="J31" s="342"/>
      <c r="K31" s="337"/>
      <c r="L31" s="337"/>
      <c r="M31" s="337"/>
      <c r="N31" s="337"/>
      <c r="O31" s="337"/>
      <c r="P31" s="337"/>
      <c r="Q31" s="359"/>
      <c r="R31" s="347"/>
      <c r="S31" s="121"/>
    </row>
    <row r="32" spans="1:19" ht="15">
      <c r="A32" s="305">
        <v>32</v>
      </c>
      <c r="B32" s="360" t="s">
        <v>524</v>
      </c>
      <c r="C32" s="501"/>
      <c r="D32" s="81"/>
      <c r="E32" s="329"/>
      <c r="F32" s="329"/>
      <c r="G32" s="329"/>
      <c r="H32" s="329"/>
      <c r="I32" s="342">
        <f>I26*I27</f>
        <v>-325868.90933839773</v>
      </c>
      <c r="J32" s="342">
        <f>J26*J27</f>
        <v>-801798.34952072974</v>
      </c>
      <c r="K32" s="337"/>
      <c r="L32" s="337"/>
      <c r="M32" s="337"/>
      <c r="N32" s="337"/>
      <c r="O32" s="337"/>
      <c r="P32" s="337"/>
      <c r="Q32" s="359"/>
      <c r="R32" s="347"/>
      <c r="S32" s="121"/>
    </row>
    <row r="33" spans="1:19" ht="15">
      <c r="B33" s="358" t="s">
        <v>14</v>
      </c>
      <c r="C33" s="355"/>
      <c r="D33" s="81"/>
      <c r="E33" s="500">
        <f t="shared" ref="E33:P33" si="5">SUM(E29:E32)</f>
        <v>70297670.733524993</v>
      </c>
      <c r="F33" s="500">
        <f t="shared" si="5"/>
        <v>70656752.734983996</v>
      </c>
      <c r="G33" s="500">
        <f t="shared" si="5"/>
        <v>67552631.491176993</v>
      </c>
      <c r="H33" s="500">
        <f t="shared" si="5"/>
        <v>55457975.178070001</v>
      </c>
      <c r="I33" s="500">
        <f t="shared" si="5"/>
        <v>48615122.417084813</v>
      </c>
      <c r="J33" s="499">
        <f t="shared" si="5"/>
        <v>55689066.571189269</v>
      </c>
      <c r="K33" s="499">
        <f t="shared" si="5"/>
        <v>50591367.312356003</v>
      </c>
      <c r="L33" s="499">
        <f t="shared" si="5"/>
        <v>50613148.082052</v>
      </c>
      <c r="M33" s="499">
        <f t="shared" si="5"/>
        <v>46840199.403549999</v>
      </c>
      <c r="N33" s="499">
        <f t="shared" si="5"/>
        <v>55202268.962035</v>
      </c>
      <c r="O33" s="499">
        <f t="shared" si="5"/>
        <v>66384764.884613998</v>
      </c>
      <c r="P33" s="499">
        <f t="shared" si="5"/>
        <v>70371574.482403994</v>
      </c>
      <c r="Q33" s="498">
        <f>SUM(Q29:Q30)</f>
        <v>712673564.29868889</v>
      </c>
      <c r="R33" s="347"/>
      <c r="S33" s="121"/>
    </row>
    <row r="34" spans="1:19" ht="15">
      <c r="B34" s="357"/>
      <c r="C34" s="355"/>
      <c r="D34" s="81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54"/>
      <c r="R34" s="347"/>
      <c r="S34" s="121"/>
    </row>
    <row r="35" spans="1:19">
      <c r="A35" s="305">
        <f>ROW()</f>
        <v>35</v>
      </c>
      <c r="B35" s="356"/>
      <c r="C35" s="355"/>
      <c r="D35" s="81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54"/>
      <c r="R35" s="347"/>
      <c r="S35" s="109"/>
    </row>
    <row r="36" spans="1:19" ht="17.25" customHeight="1" thickBot="1">
      <c r="A36" s="305">
        <f>ROW()</f>
        <v>36</v>
      </c>
      <c r="B36" s="353" t="s">
        <v>302</v>
      </c>
      <c r="D36" s="81"/>
      <c r="E36" s="352">
        <f t="shared" ref="E36:Q36" si="6">E21-E33</f>
        <v>5538348.2664750069</v>
      </c>
      <c r="F36" s="352">
        <f t="shared" si="6"/>
        <v>2104561.6050159931</v>
      </c>
      <c r="G36" s="352">
        <f t="shared" si="6"/>
        <v>3731456.1888230294</v>
      </c>
      <c r="H36" s="352">
        <f t="shared" si="6"/>
        <v>-1079153.1780700013</v>
      </c>
      <c r="I36" s="352">
        <f t="shared" si="6"/>
        <v>6866274.1829151884</v>
      </c>
      <c r="J36" s="352">
        <f t="shared" si="6"/>
        <v>13347830.428810731</v>
      </c>
      <c r="K36" s="351">
        <f t="shared" si="6"/>
        <v>332214.68764399737</v>
      </c>
      <c r="L36" s="351">
        <f t="shared" si="6"/>
        <v>104123.91794800013</v>
      </c>
      <c r="M36" s="351">
        <f t="shared" si="6"/>
        <v>2218110.596450001</v>
      </c>
      <c r="N36" s="351">
        <f t="shared" si="6"/>
        <v>3664586.8121585473</v>
      </c>
      <c r="O36" s="351">
        <f t="shared" si="6"/>
        <v>6782695.1153860018</v>
      </c>
      <c r="P36" s="351">
        <f t="shared" si="6"/>
        <v>13423934.517596006</v>
      </c>
      <c r="Q36" s="351">
        <f t="shared" si="6"/>
        <v>52633961.095504642</v>
      </c>
      <c r="R36" s="347"/>
      <c r="S36" s="109"/>
    </row>
    <row r="37" spans="1:19" ht="15.75" customHeight="1">
      <c r="A37" s="305">
        <f>ROW()</f>
        <v>37</v>
      </c>
      <c r="B37" s="350" t="s">
        <v>13</v>
      </c>
      <c r="E37" s="349">
        <f t="shared" ref="E37:Q37" si="7">+E36</f>
        <v>5538348.2664750069</v>
      </c>
      <c r="F37" s="349">
        <f t="shared" si="7"/>
        <v>2104561.6050159931</v>
      </c>
      <c r="G37" s="349">
        <f t="shared" si="7"/>
        <v>3731456.1888230294</v>
      </c>
      <c r="H37" s="349">
        <f t="shared" si="7"/>
        <v>-1079153.1780700013</v>
      </c>
      <c r="I37" s="349">
        <f t="shared" si="7"/>
        <v>6866274.1829151884</v>
      </c>
      <c r="J37" s="349">
        <f t="shared" si="7"/>
        <v>13347830.428810731</v>
      </c>
      <c r="K37" s="331">
        <f t="shared" si="7"/>
        <v>332214.68764399737</v>
      </c>
      <c r="L37" s="331">
        <f t="shared" si="7"/>
        <v>104123.91794800013</v>
      </c>
      <c r="M37" s="331">
        <f t="shared" si="7"/>
        <v>2218110.596450001</v>
      </c>
      <c r="N37" s="331">
        <f t="shared" si="7"/>
        <v>3664586.8121585473</v>
      </c>
      <c r="O37" s="331">
        <f t="shared" si="7"/>
        <v>6782695.1153860018</v>
      </c>
      <c r="P37" s="331">
        <f t="shared" si="7"/>
        <v>13423934.517596006</v>
      </c>
      <c r="Q37" s="331">
        <f t="shared" si="7"/>
        <v>52633961.095504642</v>
      </c>
      <c r="R37" s="347"/>
      <c r="S37" s="121" t="s">
        <v>12</v>
      </c>
    </row>
    <row r="38" spans="1:19">
      <c r="A38" s="305">
        <f>ROW()</f>
        <v>38</v>
      </c>
      <c r="M38" s="81"/>
      <c r="N38" s="81"/>
      <c r="O38" s="81"/>
      <c r="S38" s="109"/>
    </row>
    <row r="39" spans="1:19" ht="15">
      <c r="A39" s="305">
        <f>ROW()</f>
        <v>39</v>
      </c>
      <c r="B39" s="143" t="s">
        <v>11</v>
      </c>
      <c r="C39" s="348"/>
      <c r="E39" s="329"/>
      <c r="F39" s="337"/>
      <c r="G39" s="329"/>
      <c r="H39" s="337"/>
      <c r="I39" s="337"/>
      <c r="J39" s="337"/>
      <c r="K39" s="337"/>
      <c r="L39" s="337"/>
      <c r="M39" s="337"/>
      <c r="N39" s="337"/>
      <c r="O39" s="337"/>
      <c r="P39" s="337"/>
      <c r="Q39" s="311"/>
      <c r="R39" s="347"/>
      <c r="S39" s="121"/>
    </row>
    <row r="40" spans="1:19" s="308" customFormat="1" ht="15">
      <c r="A40" s="305">
        <f>ROW()</f>
        <v>40</v>
      </c>
      <c r="B40" s="345" t="s">
        <v>523</v>
      </c>
      <c r="C40" s="497">
        <v>3.344E-4</v>
      </c>
      <c r="D40" s="344"/>
      <c r="E40" s="494"/>
      <c r="F40" s="494"/>
      <c r="G40" s="494"/>
      <c r="H40" s="494"/>
      <c r="I40" s="494"/>
      <c r="J40" s="494"/>
      <c r="K40" s="494">
        <f>K37*(1-$C$40)</f>
        <v>332103.59505244921</v>
      </c>
      <c r="L40" s="494">
        <f>L37*(1-$C$40)</f>
        <v>104089.09890983833</v>
      </c>
      <c r="M40" s="494">
        <f>M37*(1-$C$40)</f>
        <v>2217368.8602665481</v>
      </c>
      <c r="N40" s="494">
        <f>N37*(1-$C$40)*14/31</f>
        <v>1654421.265825802</v>
      </c>
      <c r="O40" s="494"/>
      <c r="P40" s="494"/>
      <c r="Q40" s="329">
        <f>SUM(E40:P40)</f>
        <v>4307982.8200546373</v>
      </c>
      <c r="R40" s="343"/>
      <c r="S40" s="121" t="s">
        <v>10</v>
      </c>
    </row>
    <row r="41" spans="1:19" s="308" customFormat="1" ht="15">
      <c r="A41" s="305">
        <f>ROW()</f>
        <v>41</v>
      </c>
      <c r="B41" s="345" t="s">
        <v>522</v>
      </c>
      <c r="C41" s="497">
        <v>3.143E-4</v>
      </c>
      <c r="D41" s="344"/>
      <c r="E41" s="496">
        <f t="shared" ref="E41:J41" si="8">E37*(1-$C$41)</f>
        <v>5536607.5636148537</v>
      </c>
      <c r="F41" s="496">
        <f t="shared" si="8"/>
        <v>2103900.1413035365</v>
      </c>
      <c r="G41" s="495">
        <f t="shared" si="8"/>
        <v>3730283.3921428826</v>
      </c>
      <c r="H41" s="495">
        <f t="shared" si="8"/>
        <v>-1078814.000226134</v>
      </c>
      <c r="I41" s="495">
        <f t="shared" si="8"/>
        <v>6864116.1129394984</v>
      </c>
      <c r="J41" s="495">
        <f t="shared" si="8"/>
        <v>13343635.205706956</v>
      </c>
      <c r="K41" s="494"/>
      <c r="L41" s="346"/>
      <c r="M41" s="346"/>
      <c r="N41" s="494">
        <f>N37*(1-$C$41)*17/31</f>
        <v>2008980.5017064277</v>
      </c>
      <c r="O41" s="494">
        <f>O37*(1-$C$41)</f>
        <v>6780563.3143112361</v>
      </c>
      <c r="P41" s="494">
        <f>P37*(1-$C$41)</f>
        <v>13419715.374977127</v>
      </c>
      <c r="Q41" s="329">
        <f>SUM(E41:P41)</f>
        <v>52708987.606476381</v>
      </c>
      <c r="R41" s="343"/>
      <c r="S41" s="121"/>
    </row>
    <row r="42" spans="1:19" s="308" customFormat="1" ht="15">
      <c r="A42" s="305">
        <f>ROW()</f>
        <v>42</v>
      </c>
      <c r="B42" s="345" t="s">
        <v>521</v>
      </c>
      <c r="C42" s="344">
        <f>C40*14/31+C41*17/31</f>
        <v>3.2337741935483869E-4</v>
      </c>
      <c r="D42" s="344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43"/>
      <c r="S42" s="121"/>
    </row>
    <row r="43" spans="1:19">
      <c r="A43" s="305">
        <f>ROW()</f>
        <v>43</v>
      </c>
      <c r="B43" s="109" t="s">
        <v>9</v>
      </c>
      <c r="C43" s="308"/>
      <c r="D43" s="81"/>
      <c r="E43" s="329">
        <f t="shared" ref="E43:Q43" si="9">+E40+E41</f>
        <v>5536607.5636148537</v>
      </c>
      <c r="F43" s="329">
        <f t="shared" si="9"/>
        <v>2103900.1413035365</v>
      </c>
      <c r="G43" s="329">
        <f t="shared" si="9"/>
        <v>3730283.3921428826</v>
      </c>
      <c r="H43" s="337">
        <f t="shared" si="9"/>
        <v>-1078814.000226134</v>
      </c>
      <c r="I43" s="337">
        <f t="shared" si="9"/>
        <v>6864116.1129394984</v>
      </c>
      <c r="J43" s="337">
        <f t="shared" si="9"/>
        <v>13343635.205706956</v>
      </c>
      <c r="K43" s="337">
        <f t="shared" si="9"/>
        <v>332103.59505244921</v>
      </c>
      <c r="L43" s="337">
        <f t="shared" si="9"/>
        <v>104089.09890983833</v>
      </c>
      <c r="M43" s="337">
        <f t="shared" si="9"/>
        <v>2217368.8602665481</v>
      </c>
      <c r="N43" s="337">
        <f t="shared" si="9"/>
        <v>3663401.7675322294</v>
      </c>
      <c r="O43" s="337">
        <f t="shared" si="9"/>
        <v>6780563.3143112361</v>
      </c>
      <c r="P43" s="337">
        <f t="shared" si="9"/>
        <v>13419715.374977127</v>
      </c>
      <c r="Q43" s="337">
        <f t="shared" si="9"/>
        <v>57016970.426531017</v>
      </c>
      <c r="R43" s="341"/>
      <c r="S43" s="109"/>
    </row>
    <row r="44" spans="1:19">
      <c r="A44" s="305">
        <f>ROW()</f>
        <v>44</v>
      </c>
      <c r="B44" s="109" t="s">
        <v>8</v>
      </c>
      <c r="D44" s="81"/>
      <c r="E44" s="329">
        <f t="shared" ref="E44:Q44" si="10">-E43</f>
        <v>-5536607.5636148537</v>
      </c>
      <c r="F44" s="329">
        <f t="shared" si="10"/>
        <v>-2103900.1413035365</v>
      </c>
      <c r="G44" s="329">
        <f t="shared" si="10"/>
        <v>-3730283.3921428826</v>
      </c>
      <c r="H44" s="337">
        <f t="shared" si="10"/>
        <v>1078814.000226134</v>
      </c>
      <c r="I44" s="337">
        <f t="shared" si="10"/>
        <v>-6864116.1129394984</v>
      </c>
      <c r="J44" s="337">
        <f t="shared" si="10"/>
        <v>-13343635.205706956</v>
      </c>
      <c r="K44" s="337">
        <f t="shared" si="10"/>
        <v>-332103.59505244921</v>
      </c>
      <c r="L44" s="337">
        <f t="shared" si="10"/>
        <v>-104089.09890983833</v>
      </c>
      <c r="M44" s="337">
        <f t="shared" si="10"/>
        <v>-2217368.8602665481</v>
      </c>
      <c r="N44" s="337">
        <f t="shared" si="10"/>
        <v>-3663401.7675322294</v>
      </c>
      <c r="O44" s="337">
        <f t="shared" si="10"/>
        <v>-6780563.3143112361</v>
      </c>
      <c r="P44" s="337">
        <f t="shared" si="10"/>
        <v>-13419715.374977127</v>
      </c>
      <c r="Q44" s="337">
        <f t="shared" si="10"/>
        <v>-57016970.426531017</v>
      </c>
      <c r="R44" s="341"/>
      <c r="S44" s="109"/>
    </row>
    <row r="45" spans="1:19">
      <c r="A45" s="305">
        <f>ROW()</f>
        <v>45</v>
      </c>
      <c r="B45" s="109"/>
      <c r="D45" s="81"/>
      <c r="E45" s="329"/>
      <c r="F45" s="329"/>
      <c r="G45" s="329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41"/>
      <c r="S45" s="109"/>
    </row>
    <row r="46" spans="1:19" ht="15">
      <c r="A46" s="305">
        <f>ROW()</f>
        <v>46</v>
      </c>
      <c r="B46" s="109" t="s">
        <v>7</v>
      </c>
      <c r="D46" s="81"/>
      <c r="E46" s="342">
        <f>E43+P46</f>
        <v>32053849.57466428</v>
      </c>
      <c r="F46" s="342">
        <f>+E46+F43</f>
        <v>34157749.715967819</v>
      </c>
      <c r="G46" s="342">
        <f>+F46+G43</f>
        <v>37888033.108110704</v>
      </c>
      <c r="H46" s="342">
        <f>+G46+H43</f>
        <v>36809219.107884571</v>
      </c>
      <c r="I46" s="342">
        <f>+H46+I43</f>
        <v>43673335.22082407</v>
      </c>
      <c r="J46" s="342">
        <f>+I46+J43</f>
        <v>57016970.426531024</v>
      </c>
      <c r="K46" s="329">
        <f>+K43</f>
        <v>332103.59505244921</v>
      </c>
      <c r="L46" s="329">
        <f t="shared" ref="L46:P47" si="11">+K46+L43</f>
        <v>436192.69396228751</v>
      </c>
      <c r="M46" s="329">
        <f t="shared" si="11"/>
        <v>2653561.5542288357</v>
      </c>
      <c r="N46" s="329">
        <f t="shared" si="11"/>
        <v>6316963.3217610652</v>
      </c>
      <c r="O46" s="329">
        <f t="shared" si="11"/>
        <v>13097526.6360723</v>
      </c>
      <c r="P46" s="329">
        <f t="shared" si="11"/>
        <v>26517242.011049427</v>
      </c>
      <c r="Q46" s="337">
        <f>+Q43</f>
        <v>57016970.426531017</v>
      </c>
      <c r="R46" s="341"/>
      <c r="S46" s="121" t="s">
        <v>6</v>
      </c>
    </row>
    <row r="47" spans="1:19">
      <c r="A47" s="305">
        <f>ROW()</f>
        <v>47</v>
      </c>
      <c r="B47" s="109" t="s">
        <v>5</v>
      </c>
      <c r="D47" s="81"/>
      <c r="E47" s="329">
        <f>E44+P47</f>
        <v>-45397484.780371234</v>
      </c>
      <c r="F47" s="329">
        <f>+E47+F44</f>
        <v>-47501384.921674773</v>
      </c>
      <c r="G47" s="329">
        <f>+F47+G44</f>
        <v>-51231668.313817658</v>
      </c>
      <c r="H47" s="329">
        <f>+G47+H44</f>
        <v>-50152854.313591525</v>
      </c>
      <c r="I47" s="329">
        <f>+H47+I44</f>
        <v>-57016970.426531024</v>
      </c>
      <c r="J47" s="329">
        <f>J44</f>
        <v>-13343635.205706956</v>
      </c>
      <c r="K47" s="337">
        <f>+J47+K44</f>
        <v>-13675738.800759405</v>
      </c>
      <c r="L47" s="337">
        <f t="shared" si="11"/>
        <v>-13779827.899669243</v>
      </c>
      <c r="M47" s="337">
        <f t="shared" si="11"/>
        <v>-15997196.759935791</v>
      </c>
      <c r="N47" s="337">
        <f t="shared" si="11"/>
        <v>-19660598.527468018</v>
      </c>
      <c r="O47" s="337">
        <f t="shared" si="11"/>
        <v>-26441161.841779254</v>
      </c>
      <c r="P47" s="337">
        <f t="shared" si="11"/>
        <v>-39860877.216756381</v>
      </c>
      <c r="Q47" s="337">
        <f>+Q44</f>
        <v>-57016970.426531017</v>
      </c>
      <c r="R47" s="341"/>
    </row>
    <row r="48" spans="1:19">
      <c r="A48" s="305">
        <f>ROW()</f>
        <v>48</v>
      </c>
      <c r="B48" s="109"/>
      <c r="D48" s="81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9"/>
    </row>
    <row r="49" spans="1:18" ht="12" customHeight="1">
      <c r="A49" s="305">
        <f>ROW()</f>
        <v>49</v>
      </c>
      <c r="B49" s="340"/>
      <c r="C49" s="340"/>
      <c r="D49" s="340"/>
      <c r="E49" s="340"/>
      <c r="F49" s="340"/>
      <c r="G49" s="340"/>
      <c r="H49" s="340"/>
      <c r="I49" s="337"/>
      <c r="J49" s="337"/>
      <c r="K49" s="337"/>
      <c r="L49" s="337"/>
      <c r="M49" s="337"/>
      <c r="N49" s="337"/>
      <c r="O49" s="337"/>
      <c r="P49" s="337"/>
      <c r="Q49" s="337"/>
      <c r="R49" s="339"/>
    </row>
    <row r="50" spans="1:18" s="68" customFormat="1" hidden="1">
      <c r="A50" s="305">
        <f>ROW()</f>
        <v>50</v>
      </c>
      <c r="B50" s="68" t="s">
        <v>303</v>
      </c>
      <c r="D50" s="338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</row>
    <row r="51" spans="1:18" s="68" customFormat="1" ht="25.5" customHeight="1">
      <c r="A51" s="305"/>
      <c r="B51" s="1068" t="s">
        <v>4</v>
      </c>
      <c r="C51" s="1068"/>
      <c r="D51" s="1068"/>
      <c r="E51" s="1068"/>
      <c r="F51" s="1068"/>
      <c r="G51" s="1068"/>
      <c r="H51" s="1068"/>
      <c r="I51" s="337"/>
      <c r="J51" s="337"/>
      <c r="K51" s="337"/>
      <c r="L51" s="337"/>
      <c r="M51" s="337"/>
      <c r="N51" s="337"/>
      <c r="O51" s="337"/>
      <c r="P51" s="337"/>
      <c r="Q51" s="337"/>
    </row>
    <row r="52" spans="1:18" ht="15">
      <c r="A52" s="336" t="s">
        <v>520</v>
      </c>
      <c r="B52" s="335"/>
      <c r="C52" s="335"/>
      <c r="D52" s="334"/>
      <c r="E52" s="334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</row>
    <row r="53" spans="1:18" ht="18">
      <c r="E53" s="332"/>
      <c r="P53" s="331"/>
    </row>
    <row r="54" spans="1:18" s="308" customFormat="1" ht="15">
      <c r="A54" s="330"/>
      <c r="B54" s="308" t="s">
        <v>304</v>
      </c>
      <c r="E54" s="329">
        <f t="shared" ref="E54:P54" si="12">+E40+E41</f>
        <v>5536607.5636148537</v>
      </c>
      <c r="F54" s="329">
        <f t="shared" si="12"/>
        <v>2103900.1413035365</v>
      </c>
      <c r="G54" s="329">
        <f t="shared" si="12"/>
        <v>3730283.3921428826</v>
      </c>
      <c r="H54" s="329">
        <f t="shared" si="12"/>
        <v>-1078814.000226134</v>
      </c>
      <c r="I54" s="329">
        <f t="shared" si="12"/>
        <v>6864116.1129394984</v>
      </c>
      <c r="J54" s="329">
        <f t="shared" si="12"/>
        <v>13343635.205706956</v>
      </c>
      <c r="K54" s="329">
        <f t="shared" si="12"/>
        <v>332103.59505244921</v>
      </c>
      <c r="L54" s="329">
        <f t="shared" si="12"/>
        <v>104089.09890983833</v>
      </c>
      <c r="M54" s="329">
        <f t="shared" si="12"/>
        <v>2217368.8602665481</v>
      </c>
      <c r="N54" s="329">
        <f t="shared" si="12"/>
        <v>3663401.7675322294</v>
      </c>
      <c r="O54" s="329">
        <f t="shared" si="12"/>
        <v>6780563.3143112361</v>
      </c>
      <c r="P54" s="329">
        <f t="shared" si="12"/>
        <v>13419715.374977127</v>
      </c>
      <c r="Q54" s="4">
        <f>SUM(E54:P54)</f>
        <v>57016970.426531017</v>
      </c>
    </row>
    <row r="55" spans="1:18" s="308" customFormat="1" ht="15">
      <c r="B55" s="308" t="s">
        <v>305</v>
      </c>
      <c r="E55" s="328">
        <f>+'Summary Normalization'!B8*(1-$C$41)</f>
        <v>4081185.5237942482</v>
      </c>
      <c r="F55" s="328">
        <f>+'Summary Normalization'!C8*(1-$C$41)</f>
        <v>2988796.6809407808</v>
      </c>
      <c r="G55" s="328">
        <f>+'Summary Normalization'!D8*(1-$C$41)</f>
        <v>-974654.64252850786</v>
      </c>
      <c r="H55" s="328">
        <f>+'Summary Normalization'!E8*(1-$C$41)</f>
        <v>947272.82923507609</v>
      </c>
      <c r="I55" s="328">
        <f>+'Summary Normalization'!F8*(1-$C$41)</f>
        <v>-56879.788221129143</v>
      </c>
      <c r="J55" s="328">
        <f>+'Summary Normalization'!G8*(1-$C$41)</f>
        <v>-797360.68107312836</v>
      </c>
      <c r="K55" s="327">
        <f>+'Summary Normalization'!H8*(1-$C$40)</f>
        <v>1644624.4450608557</v>
      </c>
      <c r="L55" s="327">
        <f>+'Summary Normalization'!I8*(1-$C$40)</f>
        <v>304258.95957736281</v>
      </c>
      <c r="M55" s="327">
        <f>+'Summary Normalization'!J8*(1-$C$40)</f>
        <v>-320025.9682872158</v>
      </c>
      <c r="N55" s="327">
        <f>+'Summary Normalization'!K8*(1-$C$42)</f>
        <v>2697759.4275322263</v>
      </c>
      <c r="O55" s="327">
        <f>+'Summary Normalization'!L8*(1-$C$41)</f>
        <v>2013287.5054198201</v>
      </c>
      <c r="P55" s="327">
        <f>+'Summary Normalization'!M8*(1-$C$41)</f>
        <v>2525615.3086595857</v>
      </c>
      <c r="Q55" s="5">
        <f>SUM(E55:P55)</f>
        <v>15053879.600109976</v>
      </c>
    </row>
    <row r="56" spans="1:18" s="308" customFormat="1" ht="15">
      <c r="B56" s="308" t="s">
        <v>306</v>
      </c>
      <c r="E56" s="328">
        <f>-'Load Impact to Cost &amp; Rev'!B11*(1-$C$41)</f>
        <v>-1910091.2820677648</v>
      </c>
      <c r="F56" s="328">
        <f>-'Load Impact to Cost &amp; Rev'!C11*(1-$C$41)</f>
        <v>1500024.1527657106</v>
      </c>
      <c r="G56" s="328">
        <f>-'Load Impact to Cost &amp; Rev'!D11*(1-$C$41)</f>
        <v>164000.89851126558</v>
      </c>
      <c r="H56" s="328">
        <f>-'Load Impact to Cost &amp; Rev'!E11*(1-$C$41)</f>
        <v>-1670281.3738345413</v>
      </c>
      <c r="I56" s="328">
        <f>-'Load Impact to Cost &amp; Rev'!F11*(1-$C$41)</f>
        <v>-266245.41541269067</v>
      </c>
      <c r="J56" s="328">
        <f>-'Load Impact to Cost &amp; Rev'!G11*(1-$C$41)</f>
        <v>3199913.3107396932</v>
      </c>
      <c r="K56" s="327">
        <f>-'Load Impact to Cost &amp; Rev'!H11*(1-$C$40)</f>
        <v>279704.15770577715</v>
      </c>
      <c r="L56" s="327">
        <f>-'Load Impact to Cost &amp; Rev'!I11*(1-$C$40)</f>
        <v>757274.02877289837</v>
      </c>
      <c r="M56" s="327">
        <f>-'Load Impact to Cost &amp; Rev'!J11*(1-$C$40)</f>
        <v>1595913.2440030358</v>
      </c>
      <c r="N56" s="327">
        <f>-'Load Impact to Cost &amp; Rev'!K11*(1-$C$42)</f>
        <v>-642404.7876673385</v>
      </c>
      <c r="O56" s="327">
        <f>-'Load Impact to Cost &amp; Rev'!L11*(1-$C$41)</f>
        <v>-574985.95899837359</v>
      </c>
      <c r="P56" s="327">
        <f>-'Load Impact to Cost &amp; Rev'!M11*(1-$C$41)</f>
        <v>-2676182.4105566209</v>
      </c>
      <c r="Q56" s="5">
        <f>SUM(E56:P56)</f>
        <v>-243361.43603894953</v>
      </c>
    </row>
    <row r="57" spans="1:18" s="308" customFormat="1" ht="13.5" thickBot="1">
      <c r="B57" s="308" t="s">
        <v>307</v>
      </c>
      <c r="E57" s="326">
        <f t="shared" ref="E57:Q57" si="13">SUM(E54:E56)</f>
        <v>7707701.8053413369</v>
      </c>
      <c r="F57" s="326">
        <f t="shared" si="13"/>
        <v>6592720.9750100281</v>
      </c>
      <c r="G57" s="326">
        <f t="shared" si="13"/>
        <v>2919629.6481256401</v>
      </c>
      <c r="H57" s="326">
        <f t="shared" si="13"/>
        <v>-1801822.5448255991</v>
      </c>
      <c r="I57" s="326">
        <f t="shared" si="13"/>
        <v>6540990.9093056787</v>
      </c>
      <c r="J57" s="326">
        <f t="shared" si="13"/>
        <v>15746187.835373521</v>
      </c>
      <c r="K57" s="326">
        <f t="shared" si="13"/>
        <v>2256432.1978190821</v>
      </c>
      <c r="L57" s="326">
        <f t="shared" si="13"/>
        <v>1165622.0872600996</v>
      </c>
      <c r="M57" s="326">
        <f t="shared" si="13"/>
        <v>3493256.1359823681</v>
      </c>
      <c r="N57" s="326">
        <f t="shared" si="13"/>
        <v>5718756.4073971165</v>
      </c>
      <c r="O57" s="326">
        <f t="shared" si="13"/>
        <v>8218864.860732683</v>
      </c>
      <c r="P57" s="326">
        <f t="shared" si="13"/>
        <v>13269148.273080092</v>
      </c>
      <c r="Q57" s="326">
        <f t="shared" si="13"/>
        <v>71827488.59060204</v>
      </c>
    </row>
    <row r="58" spans="1:18" s="308" customFormat="1" ht="13.5" thickTop="1"/>
    <row r="59" spans="1:18" s="308" customFormat="1" ht="15">
      <c r="B59" s="323" t="s">
        <v>308</v>
      </c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</row>
    <row r="60" spans="1:18" s="308" customFormat="1" ht="15">
      <c r="B60" s="697" t="s">
        <v>309</v>
      </c>
      <c r="C60" s="317"/>
      <c r="D60" s="317"/>
      <c r="E60" s="325">
        <f>E57+P60</f>
        <v>41829781.76761277</v>
      </c>
      <c r="F60" s="325">
        <f>+E60+F57</f>
        <v>48422502.7426228</v>
      </c>
      <c r="G60" s="325">
        <f>+F60+G57</f>
        <v>51342132.390748441</v>
      </c>
      <c r="H60" s="325">
        <f>+G60+H57</f>
        <v>49540309.845922843</v>
      </c>
      <c r="I60" s="325">
        <f>+H60+I57</f>
        <v>56081300.755228519</v>
      </c>
      <c r="J60" s="325">
        <f>+I60+J57</f>
        <v>71827488.59060204</v>
      </c>
      <c r="K60" s="325">
        <f>K57</f>
        <v>2256432.1978190821</v>
      </c>
      <c r="L60" s="325">
        <f>+K60+L57</f>
        <v>3422054.2850791817</v>
      </c>
      <c r="M60" s="325">
        <f>+L60+M57</f>
        <v>6915310.4210615493</v>
      </c>
      <c r="N60" s="325">
        <f>+M60+N57</f>
        <v>12634066.828458667</v>
      </c>
      <c r="O60" s="325">
        <f>+N60+O57</f>
        <v>20852931.689191349</v>
      </c>
      <c r="P60" s="325">
        <f>+O60+P57</f>
        <v>34122079.962271437</v>
      </c>
      <c r="Q60" s="317"/>
    </row>
    <row r="61" spans="1:18" s="308" customFormat="1" ht="15">
      <c r="B61" s="69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</row>
    <row r="62" spans="1:18" s="308" customFormat="1" ht="15">
      <c r="B62" s="323" t="s">
        <v>310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</row>
    <row r="63" spans="1:18" s="308" customFormat="1" ht="15">
      <c r="B63" s="697" t="s">
        <v>311</v>
      </c>
      <c r="C63" s="317"/>
      <c r="D63" s="317"/>
      <c r="E63" s="670">
        <f>IF(ABS(E60)&gt;+E78,IF(E60&lt;0,-E78,+E78),+E60)</f>
        <v>17000000</v>
      </c>
      <c r="F63" s="670">
        <f>IF(ABS(F60)&gt;+E78,IF(F60&lt;0,-E78,+E78),+F60)</f>
        <v>17000000</v>
      </c>
      <c r="G63" s="670">
        <f>IF(ABS(G60)&gt;+E78,IF(G60&lt;0,-E78,+E78),+G60)</f>
        <v>17000000</v>
      </c>
      <c r="H63" s="670">
        <f>IF(ABS(H60)&gt;+E78,IF(H60&lt;0,-E78,+E78),+H60)</f>
        <v>17000000</v>
      </c>
      <c r="I63" s="670">
        <f>IF(ABS(I60)&gt;+E78,IF(I60&lt;0,-E78,+E78),+I60)</f>
        <v>17000000</v>
      </c>
      <c r="J63" s="670">
        <f>IF(ABS(J60)&gt;+E78,IF(J60&lt;0,-E78,+E78),+J60)</f>
        <v>17000000</v>
      </c>
      <c r="K63" s="670">
        <f>IF(ABS(K60)&gt;+E78,IF(K60&lt;0,-E78,+E78),+K60)</f>
        <v>2256432.1978190821</v>
      </c>
      <c r="L63" s="670">
        <f>IF(ABS(L60)&gt;+E78,IF(L60&lt;0,-E78,+E78),+L60)</f>
        <v>3422054.2850791817</v>
      </c>
      <c r="M63" s="670">
        <f>IF(ABS(M60)&gt;+E78,IF(M60&lt;0,-E78,+E78),+M60)</f>
        <v>6915310.4210615493</v>
      </c>
      <c r="N63" s="670">
        <f>IF(ABS(N60)&gt;+E78,IF(N60&lt;0,-E78,+E78),+N60)</f>
        <v>12634066.828458667</v>
      </c>
      <c r="O63" s="670">
        <f>IF(ABS(O60)&gt;+E78,IF(O60&lt;0,-E78,+E78),+O60)</f>
        <v>17000000</v>
      </c>
      <c r="P63" s="670">
        <f>IF(ABS(P60)&gt;+E78,IF(P60&lt;0,-E78,+E78),+P60)</f>
        <v>17000000</v>
      </c>
      <c r="Q63" s="670"/>
    </row>
    <row r="64" spans="1:18" s="308" customFormat="1" ht="15">
      <c r="B64" s="697" t="s">
        <v>312</v>
      </c>
      <c r="C64" s="317"/>
      <c r="D64" s="317"/>
      <c r="E64" s="670">
        <f>IF(ABS(E60)-ABS(E63)&gt;=E79,IF(E60&lt;=0,-E79,+E79),+E60-E63)</f>
        <v>23000000</v>
      </c>
      <c r="F64" s="670">
        <f>IF(ABS(F60)-ABS(F63)&gt;=E79,IF(F60&lt;=0,-E79,+E79),+F60-F63)</f>
        <v>23000000</v>
      </c>
      <c r="G64" s="670">
        <f>IF(ABS(G60)-ABS(G63)&gt;=E79,IF(G60&lt;=0,-E79,+E79),+G60-G63)</f>
        <v>23000000</v>
      </c>
      <c r="H64" s="670">
        <f>IF(ABS(H60)-ABS(H63)&gt;=E79,IF(H60&lt;=0,-E79,+E79),+H60-H63)</f>
        <v>23000000</v>
      </c>
      <c r="I64" s="670">
        <f>IF(ABS(I60)-ABS(I63)&gt;=E79,IF(I60&lt;=0,-E79,+E79),+I60-I63)</f>
        <v>23000000</v>
      </c>
      <c r="J64" s="670">
        <f>IF(ABS(J60)-ABS(J63)&gt;=E79,IF(J60&lt;=0,-E79,+E79),+J60-J63)</f>
        <v>23000000</v>
      </c>
      <c r="K64" s="670">
        <f>IF(ABS(K60)-ABS(K63)&gt;=E79,IF(K60&lt;=0,-E79,+E79),+K60-K63)</f>
        <v>0</v>
      </c>
      <c r="L64" s="670">
        <f>IF(ABS(L60)-ABS(L63)&gt;=E79,IF(L60&lt;=0,-E79,+E79),+L60-L63)</f>
        <v>0</v>
      </c>
      <c r="M64" s="670">
        <f>IF(ABS(M60)-ABS(M63)&gt;=E79,IF(M60&lt;=0,-E79,+E79),+M60-M63)</f>
        <v>0</v>
      </c>
      <c r="N64" s="670">
        <f>IF(ABS(N60)-ABS(N63)&gt;=E79,IF(N60&lt;=0,-E79,+E79),+N60-N63)</f>
        <v>0</v>
      </c>
      <c r="O64" s="670">
        <f>IF(ABS(O60)-ABS(O63)&gt;=E79,IF(O60&lt;=0,-E79,+E79),+O60-O63)</f>
        <v>3852931.6891913489</v>
      </c>
      <c r="P64" s="670">
        <f>IF(ABS(P60)-ABS(P63)&gt;=E79,IF(P60&lt;=0,-E79,+E79),+P60-P63)</f>
        <v>17122079.962271437</v>
      </c>
      <c r="Q64" s="670"/>
    </row>
    <row r="65" spans="1:19" s="308" customFormat="1" ht="15">
      <c r="B65" s="697" t="s">
        <v>313</v>
      </c>
      <c r="C65" s="317"/>
      <c r="D65" s="317"/>
      <c r="E65" s="670">
        <f>IF(ABS(E60)-ABS(SUM(E63:E64))&gt;=E81,IF(E60&lt;=0,E60-SUM(E63:E64),E60-SUM(E63:E64)),+E60-SUM(E63:E64))</f>
        <v>1829781.7676127702</v>
      </c>
      <c r="F65" s="670">
        <f>IF(ABS(F60)-ABS(SUM(F63:F64))&gt;=E81,IF(F60&lt;=0,F60-SUM(F63:F64),F60-SUM(F63:F64)),+F60-SUM(F63:F64))</f>
        <v>8422502.7426228002</v>
      </c>
      <c r="G65" s="670">
        <f>IF(ABS(G60)-ABS(SUM(G63:G64))&gt;=E81,IF(G60&lt;=0,G60-SUM(G63:G64),G60-SUM(G63:G64)),+G60-SUM(G63:G64))</f>
        <v>11342132.390748441</v>
      </c>
      <c r="H65" s="670">
        <f>IF(ABS(H60)-ABS(SUM(H63:H64))&gt;=E81,IF(H60&lt;=0,H60-SUM(H63:H64),H60-SUM(H63:H64)),+H60-SUM(H63:H64))</f>
        <v>9540309.8459228426</v>
      </c>
      <c r="I65" s="670">
        <f>IF(ABS(I60)-ABS(SUM(I63:I64))&gt;=E81,IF(I60&lt;=0,I60-SUM(I63:I64),I60-SUM(I63:I64)),+I60-SUM(I63:I64))</f>
        <v>16081300.755228519</v>
      </c>
      <c r="J65" s="670">
        <f>IF(ABS(J60)-ABS(SUM(J63:J64))&gt;=E81,IF(J60&lt;=0,J60-SUM(J63:J64),J60-SUM(J63:J64)),+J60-SUM(J63:J64))</f>
        <v>31827488.59060204</v>
      </c>
      <c r="K65" s="670">
        <f>IF(ABS(K60)-ABS(SUM(K63:K64))&gt;=E81,IF(K60&lt;=0,K60-SUM(K63:K64),K60-SUM(K63:K64)),+K60-SUM(K63:K64))</f>
        <v>0</v>
      </c>
      <c r="L65" s="670">
        <f>IF(ABS(L60)-ABS(SUM(L63:L64))&gt;=E81,IF(L60&lt;=0,L60-SUM(L63:L64),L60-SUM(L63:L64)),+L60-SUM(L63:L64))</f>
        <v>0</v>
      </c>
      <c r="M65" s="670">
        <f>IF(ABS(M60)-ABS(SUM(M63:M64))&gt;=E81,IF(M60&lt;=0,M60-SUM(M63:M64),+M60-E81),+M60-SUM(M63:M64))</f>
        <v>0</v>
      </c>
      <c r="N65" s="670">
        <f>IF(ABS(N60)-ABS(SUM(N63:N64))&gt;=E81,IF(N60&lt;=0,N60-SUM(N63:N64),N60-SUM(N63:N64)),+N60-SUM(N63:N64))</f>
        <v>0</v>
      </c>
      <c r="O65" s="670">
        <f>IF(ABS(O60)-ABS(SUM(O63:O64))&gt;=E81,IF(O60&lt;=0,O60-SUM(O63:O64),O60-SUM(O63:O64)),+O60-SUM(O63:O64))</f>
        <v>0</v>
      </c>
      <c r="P65" s="670">
        <f>IF(ABS(P60)-ABS(SUM(P63:P64))&gt;=E81,IF(P60&lt;=0,P60-SUM(P63:P64),+P60-E81),+P60-SUM(P63:P64))</f>
        <v>0</v>
      </c>
      <c r="Q65" s="670"/>
    </row>
    <row r="66" spans="1:19" s="308" customFormat="1" ht="15">
      <c r="B66" s="319" t="s">
        <v>314</v>
      </c>
      <c r="C66" s="317"/>
      <c r="D66" s="317"/>
      <c r="E66" s="324">
        <f t="shared" ref="E66:P66" si="14">SUM(E63:E65)-E60</f>
        <v>0</v>
      </c>
      <c r="F66" s="324">
        <f t="shared" si="14"/>
        <v>0</v>
      </c>
      <c r="G66" s="324">
        <f t="shared" si="14"/>
        <v>0</v>
      </c>
      <c r="H66" s="324">
        <f t="shared" si="14"/>
        <v>0</v>
      </c>
      <c r="I66" s="324">
        <f t="shared" si="14"/>
        <v>0</v>
      </c>
      <c r="J66" s="324">
        <f t="shared" si="14"/>
        <v>0</v>
      </c>
      <c r="K66" s="324">
        <f t="shared" si="14"/>
        <v>0</v>
      </c>
      <c r="L66" s="324">
        <f t="shared" si="14"/>
        <v>0</v>
      </c>
      <c r="M66" s="324">
        <f t="shared" si="14"/>
        <v>0</v>
      </c>
      <c r="N66" s="324">
        <f t="shared" si="14"/>
        <v>0</v>
      </c>
      <c r="O66" s="324">
        <f t="shared" si="14"/>
        <v>0</v>
      </c>
      <c r="P66" s="324">
        <f t="shared" si="14"/>
        <v>0</v>
      </c>
      <c r="Q66" s="670"/>
    </row>
    <row r="67" spans="1:19" s="308" customFormat="1" ht="15">
      <c r="B67" s="323" t="s">
        <v>519</v>
      </c>
      <c r="C67" s="317"/>
      <c r="D67" s="317"/>
      <c r="E67" s="670"/>
      <c r="F67" s="670"/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</row>
    <row r="68" spans="1:19" s="308" customFormat="1" ht="15">
      <c r="B68" s="702" t="s">
        <v>315</v>
      </c>
      <c r="C68" s="322"/>
      <c r="D68" s="322"/>
      <c r="E68" s="701">
        <f>IF(E64&lt;0, E64*F80, E64*F79)</f>
        <v>11500000</v>
      </c>
      <c r="F68" s="701">
        <f>IF(F64&lt;0, F64*F80, F64*F79)</f>
        <v>11500000</v>
      </c>
      <c r="G68" s="701">
        <f>IF(G64&lt;0, G64*F80, G64*F79)</f>
        <v>11500000</v>
      </c>
      <c r="H68" s="701">
        <f>IF(H64&lt;0, H64*F80, H64*F79)</f>
        <v>11500000</v>
      </c>
      <c r="I68" s="701">
        <f>IF(I64&lt;0, I64*F80, I64*F79)</f>
        <v>11500000</v>
      </c>
      <c r="J68" s="701">
        <f>IF(J64&lt;0, J64*F80, J64*F79)</f>
        <v>11500000</v>
      </c>
      <c r="K68" s="701">
        <f>IF(K64&lt;0, K64*F80, K64*F79)</f>
        <v>0</v>
      </c>
      <c r="L68" s="701">
        <f>IF(L64&lt;0, L64*F80, L64*F79)</f>
        <v>0</v>
      </c>
      <c r="M68" s="701">
        <f>IF(M64&lt;0, M64*F80, M64*F79)</f>
        <v>0</v>
      </c>
      <c r="N68" s="701">
        <f>IF(N64&lt;0, N64*F80, N64*F79)</f>
        <v>0</v>
      </c>
      <c r="O68" s="701">
        <f>IF(O64&lt;0, O64*F80, O64*F79)</f>
        <v>1926465.8445956744</v>
      </c>
      <c r="P68" s="701">
        <f>IF(P64&lt;0, P64*F80, P64*F79)</f>
        <v>8561039.9811357185</v>
      </c>
      <c r="Q68" s="686"/>
    </row>
    <row r="69" spans="1:19" s="308" customFormat="1" ht="15">
      <c r="B69" s="699" t="s">
        <v>316</v>
      </c>
      <c r="C69" s="321"/>
      <c r="D69" s="321"/>
      <c r="E69" s="698">
        <f>+E65*F81</f>
        <v>1646803.5908514932</v>
      </c>
      <c r="F69" s="698">
        <f>+F65*F81</f>
        <v>7580252.46836052</v>
      </c>
      <c r="G69" s="698">
        <f>+G65*F81</f>
        <v>10207919.151673598</v>
      </c>
      <c r="H69" s="698">
        <f>+H65*F81</f>
        <v>8586278.8613305595</v>
      </c>
      <c r="I69" s="698">
        <f>+I65*F81</f>
        <v>14473170.679705668</v>
      </c>
      <c r="J69" s="698">
        <f>+J65*F81</f>
        <v>28644739.731541838</v>
      </c>
      <c r="K69" s="698">
        <f>+K65*F81</f>
        <v>0</v>
      </c>
      <c r="L69" s="698">
        <f>+L65*F81</f>
        <v>0</v>
      </c>
      <c r="M69" s="698">
        <f>+M65*F81</f>
        <v>0</v>
      </c>
      <c r="N69" s="698">
        <f>+N65*F81</f>
        <v>0</v>
      </c>
      <c r="O69" s="698">
        <f>+O65*F81</f>
        <v>0</v>
      </c>
      <c r="P69" s="698">
        <f>+P65*F81</f>
        <v>0</v>
      </c>
      <c r="Q69" s="680">
        <f>SUM(J68:J69)</f>
        <v>40144739.731541842</v>
      </c>
    </row>
    <row r="70" spans="1:19" s="308" customFormat="1" ht="15">
      <c r="B70" s="702" t="s">
        <v>317</v>
      </c>
      <c r="C70" s="322"/>
      <c r="D70" s="322"/>
      <c r="E70" s="701">
        <f t="shared" ref="E70:P70" si="15">+E63</f>
        <v>17000000</v>
      </c>
      <c r="F70" s="701">
        <f t="shared" si="15"/>
        <v>17000000</v>
      </c>
      <c r="G70" s="701">
        <f t="shared" si="15"/>
        <v>17000000</v>
      </c>
      <c r="H70" s="701">
        <f t="shared" si="15"/>
        <v>17000000</v>
      </c>
      <c r="I70" s="701">
        <f t="shared" si="15"/>
        <v>17000000</v>
      </c>
      <c r="J70" s="701">
        <f t="shared" si="15"/>
        <v>17000000</v>
      </c>
      <c r="K70" s="701">
        <f t="shared" si="15"/>
        <v>2256432.1978190821</v>
      </c>
      <c r="L70" s="701">
        <f t="shared" si="15"/>
        <v>3422054.2850791817</v>
      </c>
      <c r="M70" s="701">
        <f t="shared" si="15"/>
        <v>6915310.4210615493</v>
      </c>
      <c r="N70" s="701">
        <f t="shared" si="15"/>
        <v>12634066.828458667</v>
      </c>
      <c r="O70" s="701">
        <f t="shared" si="15"/>
        <v>17000000</v>
      </c>
      <c r="P70" s="701">
        <f t="shared" si="15"/>
        <v>17000000</v>
      </c>
      <c r="Q70" s="686"/>
    </row>
    <row r="71" spans="1:19" s="308" customFormat="1" ht="15">
      <c r="B71" s="700" t="s">
        <v>318</v>
      </c>
      <c r="C71" s="314"/>
      <c r="D71" s="314"/>
      <c r="E71" s="675">
        <f>IF(E64&lt;0, E64*G80, E64*G79)</f>
        <v>11500000</v>
      </c>
      <c r="F71" s="675">
        <f>IF(F64&lt;0, F64*G80, F64*G79)</f>
        <v>11500000</v>
      </c>
      <c r="G71" s="675">
        <f>IF(G64&lt;0, G64*G80, G64*G79)</f>
        <v>11500000</v>
      </c>
      <c r="H71" s="675">
        <f>IF(H64&lt;0, H64*G80, H64*G79)</f>
        <v>11500000</v>
      </c>
      <c r="I71" s="675">
        <f>IF(I64&lt;0, I64*G80, I64*G79)</f>
        <v>11500000</v>
      </c>
      <c r="J71" s="675">
        <f>IF(J64&lt;0, J64*G80, J64*G79)</f>
        <v>11500000</v>
      </c>
      <c r="K71" s="675">
        <f>IF(K64&lt;0, K64*G80, K64*G79)</f>
        <v>0</v>
      </c>
      <c r="L71" s="675">
        <f>IF(L64&lt;0, L64*G80, L64*G79)</f>
        <v>0</v>
      </c>
      <c r="M71" s="675">
        <f>IF(M64&lt;0, M64*G80, M64*G79)</f>
        <v>0</v>
      </c>
      <c r="N71" s="675">
        <f>IF(N64&lt;0, N64*G80, N64*G79)</f>
        <v>0</v>
      </c>
      <c r="O71" s="675">
        <f>IF(O64&lt;0, O64*G80, O64*G79)</f>
        <v>1926465.8445956744</v>
      </c>
      <c r="P71" s="675">
        <f>IF(P64&lt;0, P64*G80, P64*G79)</f>
        <v>8561039.9811357185</v>
      </c>
      <c r="Q71" s="683"/>
    </row>
    <row r="72" spans="1:19" s="308" customFormat="1" ht="15">
      <c r="B72" s="699" t="s">
        <v>319</v>
      </c>
      <c r="C72" s="321"/>
      <c r="D72" s="321"/>
      <c r="E72" s="698">
        <f>+E65*G81</f>
        <v>182978.17676127699</v>
      </c>
      <c r="F72" s="698">
        <f>+F65*G81</f>
        <v>842250.27426227985</v>
      </c>
      <c r="G72" s="698">
        <f>+G65*G81</f>
        <v>1134213.2390748439</v>
      </c>
      <c r="H72" s="698">
        <f>+H65*G81</f>
        <v>954030.98459228408</v>
      </c>
      <c r="I72" s="698">
        <f>+I65*G81</f>
        <v>1608130.0755228517</v>
      </c>
      <c r="J72" s="698">
        <f>+J65*G81</f>
        <v>3182748.8590602032</v>
      </c>
      <c r="K72" s="698">
        <f>+K65*G81</f>
        <v>0</v>
      </c>
      <c r="L72" s="698">
        <f>+L65*G81</f>
        <v>0</v>
      </c>
      <c r="M72" s="698">
        <f>+M65*G81</f>
        <v>0</v>
      </c>
      <c r="N72" s="698">
        <f>+N65*G81</f>
        <v>0</v>
      </c>
      <c r="O72" s="698">
        <f>+O65*G81</f>
        <v>0</v>
      </c>
      <c r="P72" s="698">
        <f>+P65*G81</f>
        <v>0</v>
      </c>
      <c r="Q72" s="680">
        <f>SUM(J70:J72)</f>
        <v>31682748.859060202</v>
      </c>
      <c r="R72" s="320"/>
    </row>
    <row r="73" spans="1:19" s="308" customFormat="1" ht="15">
      <c r="B73" s="319" t="s">
        <v>314</v>
      </c>
      <c r="C73" s="317"/>
      <c r="D73" s="317"/>
      <c r="E73" s="318">
        <f t="shared" ref="E73:P73" si="16">SUM(E68:E72)-E60</f>
        <v>0</v>
      </c>
      <c r="F73" s="318">
        <f t="shared" si="16"/>
        <v>0</v>
      </c>
      <c r="G73" s="318">
        <f t="shared" si="16"/>
        <v>0</v>
      </c>
      <c r="H73" s="318">
        <f t="shared" si="16"/>
        <v>0</v>
      </c>
      <c r="I73" s="318">
        <f t="shared" si="16"/>
        <v>0</v>
      </c>
      <c r="J73" s="318">
        <f t="shared" si="16"/>
        <v>0</v>
      </c>
      <c r="K73" s="318">
        <f t="shared" si="16"/>
        <v>0</v>
      </c>
      <c r="L73" s="318">
        <f t="shared" si="16"/>
        <v>0</v>
      </c>
      <c r="M73" s="318">
        <f t="shared" si="16"/>
        <v>0</v>
      </c>
      <c r="N73" s="318">
        <f t="shared" si="16"/>
        <v>0</v>
      </c>
      <c r="O73" s="318">
        <f t="shared" si="16"/>
        <v>0</v>
      </c>
      <c r="P73" s="318">
        <f t="shared" si="16"/>
        <v>0</v>
      </c>
      <c r="Q73" s="675">
        <f>SUM(Q68:Q72)</f>
        <v>71827488.59060204</v>
      </c>
    </row>
    <row r="74" spans="1:19" s="308" customFormat="1" ht="15.75" thickBot="1">
      <c r="B74" s="697"/>
      <c r="C74" s="317"/>
      <c r="D74" s="317"/>
      <c r="E74" s="670"/>
      <c r="F74" s="670"/>
      <c r="G74" s="670"/>
      <c r="H74" s="670"/>
      <c r="I74" s="670"/>
      <c r="J74" s="670"/>
      <c r="K74" s="670"/>
      <c r="L74" s="670"/>
      <c r="M74" s="670"/>
      <c r="N74" s="670"/>
      <c r="O74" s="670"/>
      <c r="P74" s="670"/>
      <c r="Q74" s="670"/>
    </row>
    <row r="75" spans="1:19" s="308" customFormat="1" ht="15">
      <c r="B75" s="696"/>
      <c r="C75" s="695"/>
      <c r="D75" s="695"/>
      <c r="E75" s="694"/>
      <c r="F75" s="694"/>
      <c r="G75" s="694"/>
      <c r="H75" s="694"/>
      <c r="I75" s="694"/>
      <c r="J75" s="694"/>
      <c r="K75" s="693"/>
      <c r="L75" s="670"/>
      <c r="M75" s="670"/>
      <c r="N75" s="670"/>
      <c r="O75" s="670"/>
      <c r="P75" s="670"/>
      <c r="Q75" s="670"/>
      <c r="R75" s="316"/>
      <c r="S75" s="93"/>
    </row>
    <row r="76" spans="1:19" s="308" customFormat="1" ht="15">
      <c r="A76" s="310"/>
      <c r="B76" s="676"/>
      <c r="C76" s="314"/>
      <c r="D76" s="314"/>
      <c r="E76" s="692" t="s">
        <v>320</v>
      </c>
      <c r="F76" s="691" t="s">
        <v>321</v>
      </c>
      <c r="G76" s="690"/>
      <c r="H76" s="677"/>
      <c r="I76" s="675"/>
      <c r="J76" s="675"/>
      <c r="K76" s="674"/>
      <c r="L76" s="670"/>
      <c r="M76" s="670"/>
      <c r="N76" s="670"/>
      <c r="O76" s="670"/>
      <c r="P76" s="670"/>
      <c r="Q76" s="670"/>
      <c r="R76" s="316"/>
      <c r="S76" s="93"/>
    </row>
    <row r="77" spans="1:19" s="308" customFormat="1" ht="15">
      <c r="A77" s="310"/>
      <c r="B77" s="315" t="s">
        <v>322</v>
      </c>
      <c r="C77" s="314"/>
      <c r="D77" s="314"/>
      <c r="E77" s="689" t="s">
        <v>323</v>
      </c>
      <c r="F77" s="688" t="s">
        <v>324</v>
      </c>
      <c r="G77" s="687" t="s">
        <v>325</v>
      </c>
      <c r="H77" s="677"/>
      <c r="I77" s="675"/>
      <c r="J77" s="675"/>
      <c r="K77" s="674"/>
      <c r="L77" s="670"/>
      <c r="M77" s="670"/>
      <c r="N77" s="670"/>
      <c r="O77" s="670"/>
      <c r="P77" s="670"/>
      <c r="Q77" s="670"/>
    </row>
    <row r="78" spans="1:19" s="308" customFormat="1" ht="15">
      <c r="A78" s="310"/>
      <c r="B78" s="676" t="s">
        <v>326</v>
      </c>
      <c r="C78" s="314"/>
      <c r="D78" s="314"/>
      <c r="E78" s="686">
        <v>17000000</v>
      </c>
      <c r="F78" s="685">
        <v>0</v>
      </c>
      <c r="G78" s="684">
        <f>1-F78%</f>
        <v>1</v>
      </c>
      <c r="H78" s="677" t="s">
        <v>327</v>
      </c>
      <c r="I78" s="675"/>
      <c r="J78" s="675"/>
      <c r="K78" s="674"/>
      <c r="L78" s="670"/>
      <c r="M78" s="670"/>
      <c r="N78" s="670"/>
      <c r="O78" s="670"/>
      <c r="P78" s="670"/>
      <c r="Q78" s="670"/>
    </row>
    <row r="79" spans="1:19" s="308" customFormat="1" ht="15">
      <c r="A79" s="310"/>
      <c r="B79" s="676" t="s">
        <v>328</v>
      </c>
      <c r="C79" s="314"/>
      <c r="D79" s="314"/>
      <c r="E79" s="683">
        <v>23000000</v>
      </c>
      <c r="F79" s="682">
        <v>0.5</v>
      </c>
      <c r="G79" s="681">
        <f>100%-F79</f>
        <v>0.5</v>
      </c>
      <c r="H79" s="677" t="s">
        <v>329</v>
      </c>
      <c r="I79" s="675"/>
      <c r="J79" s="675"/>
      <c r="K79" s="674"/>
      <c r="L79" s="670"/>
      <c r="M79" s="670"/>
      <c r="N79" s="670"/>
      <c r="O79" s="670"/>
      <c r="P79" s="670"/>
      <c r="Q79" s="670"/>
    </row>
    <row r="80" spans="1:19" s="308" customFormat="1" ht="15">
      <c r="A80" s="310"/>
      <c r="B80" s="676" t="s">
        <v>330</v>
      </c>
      <c r="C80" s="314"/>
      <c r="D80" s="314"/>
      <c r="E80" s="683">
        <f>-E79</f>
        <v>-23000000</v>
      </c>
      <c r="F80" s="682">
        <v>0.65</v>
      </c>
      <c r="G80" s="681">
        <f>100%-F80</f>
        <v>0.35</v>
      </c>
      <c r="H80" s="677" t="s">
        <v>331</v>
      </c>
      <c r="I80" s="675"/>
      <c r="J80" s="675"/>
      <c r="K80" s="674"/>
      <c r="L80" s="670"/>
      <c r="M80" s="670"/>
      <c r="N80" s="670"/>
      <c r="O80" s="670"/>
      <c r="P80" s="670"/>
      <c r="Q80" s="670"/>
    </row>
    <row r="81" spans="1:18" s="308" customFormat="1" ht="15">
      <c r="A81" s="310"/>
      <c r="B81" s="676" t="s">
        <v>332</v>
      </c>
      <c r="C81" s="314"/>
      <c r="D81" s="314"/>
      <c r="E81" s="680">
        <v>40000000</v>
      </c>
      <c r="F81" s="679">
        <v>0.9</v>
      </c>
      <c r="G81" s="678">
        <f>100%-F81</f>
        <v>9.9999999999999978E-2</v>
      </c>
      <c r="H81" s="677" t="s">
        <v>333</v>
      </c>
      <c r="I81" s="675"/>
      <c r="J81" s="675"/>
      <c r="K81" s="674"/>
      <c r="L81" s="670"/>
      <c r="M81" s="670"/>
      <c r="N81" s="670"/>
      <c r="O81" s="670"/>
      <c r="P81" s="670"/>
      <c r="Q81" s="670"/>
    </row>
    <row r="82" spans="1:18" s="308" customFormat="1" ht="15">
      <c r="A82" s="310"/>
      <c r="B82" s="676"/>
      <c r="C82" s="314"/>
      <c r="D82" s="314"/>
      <c r="E82" s="675"/>
      <c r="F82" s="675"/>
      <c r="G82" s="675"/>
      <c r="H82" s="675"/>
      <c r="I82" s="675"/>
      <c r="J82" s="675"/>
      <c r="K82" s="674"/>
      <c r="L82" s="670"/>
      <c r="M82" s="670"/>
      <c r="N82" s="670"/>
      <c r="O82" s="670"/>
      <c r="P82" s="670"/>
      <c r="Q82" s="670"/>
    </row>
    <row r="83" spans="1:18" s="308" customFormat="1" ht="15.75" thickBot="1">
      <c r="A83" s="310"/>
      <c r="B83" s="673"/>
      <c r="C83" s="313"/>
      <c r="D83" s="313"/>
      <c r="E83" s="672"/>
      <c r="F83" s="672"/>
      <c r="G83" s="672"/>
      <c r="H83" s="672"/>
      <c r="I83" s="672"/>
      <c r="J83" s="672"/>
      <c r="K83" s="671"/>
      <c r="L83" s="670"/>
      <c r="M83" s="670"/>
      <c r="N83" s="670"/>
      <c r="O83" s="670"/>
      <c r="P83" s="670"/>
      <c r="Q83" s="670"/>
    </row>
    <row r="84" spans="1:18" s="308" customFormat="1">
      <c r="A84" s="310"/>
    </row>
    <row r="85" spans="1:18" s="308" customFormat="1" ht="15">
      <c r="A85" s="310"/>
      <c r="B85" s="312" t="s">
        <v>518</v>
      </c>
      <c r="C85" s="312"/>
      <c r="E85" s="493">
        <f t="shared" ref="E85:P85" si="17">-IF(E46&gt;$E$78,IF(E46&lt;$E$81,(E46-$E$78)*$F$79,(E46-$E$81)*$F$81+($E$81-$E$78)*$F$79),0)</f>
        <v>-7526924.7873321399</v>
      </c>
      <c r="F85" s="493">
        <f t="shared" si="17"/>
        <v>-8578874.8579839095</v>
      </c>
      <c r="G85" s="493">
        <f t="shared" si="17"/>
        <v>-10444016.554055352</v>
      </c>
      <c r="H85" s="493">
        <f t="shared" si="17"/>
        <v>-9904609.5539422855</v>
      </c>
      <c r="I85" s="493">
        <f t="shared" si="17"/>
        <v>-14806001.698741663</v>
      </c>
      <c r="J85" s="493">
        <f t="shared" si="17"/>
        <v>-26815273.383877922</v>
      </c>
      <c r="K85" s="493">
        <f t="shared" si="17"/>
        <v>0</v>
      </c>
      <c r="L85" s="493">
        <f t="shared" si="17"/>
        <v>0</v>
      </c>
      <c r="M85" s="493">
        <f t="shared" si="17"/>
        <v>0</v>
      </c>
      <c r="N85" s="493">
        <f t="shared" si="17"/>
        <v>0</v>
      </c>
      <c r="O85" s="493">
        <f t="shared" si="17"/>
        <v>0</v>
      </c>
      <c r="P85" s="493">
        <f t="shared" si="17"/>
        <v>-4758621.0055247135</v>
      </c>
    </row>
    <row r="86" spans="1:18" s="308" customFormat="1" ht="15">
      <c r="A86" s="310"/>
      <c r="B86" s="1" t="s">
        <v>517</v>
      </c>
      <c r="C86" s="1"/>
      <c r="E86" s="471"/>
      <c r="F86" s="471"/>
      <c r="G86" s="471"/>
      <c r="H86" s="471"/>
      <c r="I86" s="492"/>
      <c r="J86" s="491">
        <f>-23865518-7426595</f>
        <v>-31292113</v>
      </c>
      <c r="K86" s="471"/>
      <c r="L86" s="471"/>
      <c r="M86" s="471"/>
      <c r="N86" s="471"/>
      <c r="O86" s="471"/>
      <c r="P86" s="471"/>
    </row>
    <row r="87" spans="1:18" s="308" customFormat="1" ht="13.5" thickBot="1">
      <c r="A87" s="310"/>
      <c r="B87" s="308" t="s">
        <v>334</v>
      </c>
      <c r="E87" s="471">
        <f t="shared" ref="E87:P87" si="18">-SUM(E68:E69)</f>
        <v>-13146803.590851493</v>
      </c>
      <c r="F87" s="471">
        <f t="shared" si="18"/>
        <v>-19080252.468360521</v>
      </c>
      <c r="G87" s="471">
        <f t="shared" si="18"/>
        <v>-21707919.1516736</v>
      </c>
      <c r="H87" s="471">
        <f t="shared" si="18"/>
        <v>-20086278.861330561</v>
      </c>
      <c r="I87" s="471">
        <f t="shared" si="18"/>
        <v>-25973170.679705668</v>
      </c>
      <c r="J87" s="471">
        <f t="shared" si="18"/>
        <v>-40144739.731541842</v>
      </c>
      <c r="K87" s="471">
        <f t="shared" si="18"/>
        <v>0</v>
      </c>
      <c r="L87" s="471">
        <f t="shared" si="18"/>
        <v>0</v>
      </c>
      <c r="M87" s="471">
        <f t="shared" si="18"/>
        <v>0</v>
      </c>
      <c r="N87" s="471">
        <f t="shared" si="18"/>
        <v>0</v>
      </c>
      <c r="O87" s="471">
        <f t="shared" si="18"/>
        <v>-1926465.8445956744</v>
      </c>
      <c r="P87" s="471">
        <f t="shared" si="18"/>
        <v>-8561039.9811357185</v>
      </c>
    </row>
    <row r="88" spans="1:18" s="308" customFormat="1" ht="13.5" thickBot="1">
      <c r="A88" s="310"/>
      <c r="B88" s="308" t="s">
        <v>516</v>
      </c>
      <c r="E88" s="489"/>
      <c r="F88" s="489"/>
      <c r="G88" s="489"/>
      <c r="H88" s="489"/>
      <c r="I88" s="489"/>
      <c r="J88" s="490">
        <f>+J87-J86</f>
        <v>-8852626.7315418422</v>
      </c>
      <c r="K88" s="489"/>
      <c r="L88" s="489"/>
      <c r="M88" s="489"/>
      <c r="N88" s="489"/>
      <c r="O88" s="489"/>
      <c r="P88" s="489"/>
      <c r="R88" s="309" t="s">
        <v>335</v>
      </c>
    </row>
    <row r="89" spans="1:18">
      <c r="A89" s="306"/>
      <c r="P89"/>
    </row>
    <row r="90" spans="1:18">
      <c r="A90" s="306"/>
      <c r="B90" s="304" t="s">
        <v>334</v>
      </c>
      <c r="E90" s="307">
        <f>SUM(E68:E69)-SUM(P68:P69)</f>
        <v>4585763.6097157747</v>
      </c>
      <c r="F90" s="307">
        <f>SUM(F68:F69)-SUM(E68:E69)</f>
        <v>5933448.8775090277</v>
      </c>
      <c r="G90" s="307">
        <f>SUM(G68:G69)-SUM(F68:F69)</f>
        <v>2627666.6833130792</v>
      </c>
      <c r="H90" s="307">
        <f>SUM(H68:H69)-SUM(G68:G69)</f>
        <v>-1621640.2903430387</v>
      </c>
      <c r="I90" s="307">
        <f>SUM(I68:I69)-SUM(H68:H69)</f>
        <v>5886891.8183751069</v>
      </c>
      <c r="J90" s="307">
        <f>SUM(J68:J69)-SUM(I68:I69)</f>
        <v>14171569.051836174</v>
      </c>
      <c r="K90" s="307">
        <f>SUM(K68:K69)</f>
        <v>0</v>
      </c>
      <c r="L90" s="307">
        <f>SUM(L68:L69)-SUM(K68:K69)</f>
        <v>0</v>
      </c>
      <c r="M90" s="307">
        <f>SUM(M68:M69)-SUM(L68:L69)</f>
        <v>0</v>
      </c>
      <c r="N90" s="307">
        <f>SUM(N68:N69)-SUM(M68:M69)</f>
        <v>0</v>
      </c>
      <c r="O90" s="307">
        <f>SUM(O68:O69)-SUM(N68:N69)</f>
        <v>1926465.8445956744</v>
      </c>
      <c r="P90" s="307">
        <f>SUM(P68:P69)-SUM(O68:O69)</f>
        <v>6634574.1365400441</v>
      </c>
    </row>
    <row r="91" spans="1:18">
      <c r="A91" s="306"/>
    </row>
    <row r="92" spans="1:18">
      <c r="A92" s="306"/>
    </row>
    <row r="93" spans="1:18">
      <c r="A93" s="306"/>
    </row>
    <row r="94" spans="1:18">
      <c r="A94" s="306"/>
    </row>
    <row r="95" spans="1:18">
      <c r="A95" s="306"/>
      <c r="J95" s="68"/>
      <c r="K95" s="68"/>
      <c r="L95" s="68"/>
    </row>
    <row r="96" spans="1:18">
      <c r="A96" s="306"/>
      <c r="I96" s="68"/>
      <c r="J96" s="68"/>
      <c r="K96" s="68"/>
      <c r="L96" s="68"/>
    </row>
    <row r="97" spans="1:12">
      <c r="A97" s="306"/>
      <c r="I97" s="68"/>
      <c r="J97" s="68"/>
      <c r="K97" s="68"/>
      <c r="L97" s="68"/>
    </row>
    <row r="98" spans="1:12">
      <c r="A98" s="306"/>
      <c r="I98" s="68"/>
      <c r="J98" s="68"/>
      <c r="K98" s="68"/>
      <c r="L98" s="68"/>
    </row>
    <row r="99" spans="1:12">
      <c r="A99" s="306"/>
    </row>
    <row r="100" spans="1:12">
      <c r="A100" s="306"/>
    </row>
    <row r="101" spans="1:12">
      <c r="A101" s="306"/>
    </row>
    <row r="102" spans="1:12">
      <c r="A102" s="306"/>
    </row>
    <row r="103" spans="1:12">
      <c r="A103" s="306"/>
    </row>
    <row r="104" spans="1:12">
      <c r="A104" s="306"/>
    </row>
    <row r="105" spans="1:12">
      <c r="A105" s="306"/>
    </row>
    <row r="106" spans="1:12">
      <c r="A106" s="306"/>
    </row>
    <row r="107" spans="1:12">
      <c r="A107" s="306"/>
    </row>
    <row r="108" spans="1:12">
      <c r="A108" s="306"/>
    </row>
    <row r="109" spans="1:12">
      <c r="A109" s="306"/>
    </row>
    <row r="110" spans="1:12">
      <c r="A110" s="306"/>
    </row>
    <row r="111" spans="1:12">
      <c r="A111" s="306"/>
    </row>
    <row r="112" spans="1:12">
      <c r="A112" s="306"/>
    </row>
    <row r="113" spans="1:1">
      <c r="A113" s="306"/>
    </row>
    <row r="114" spans="1:1">
      <c r="A114" s="306"/>
    </row>
    <row r="115" spans="1:1">
      <c r="A115" s="306"/>
    </row>
    <row r="116" spans="1:1">
      <c r="A116" s="306"/>
    </row>
    <row r="117" spans="1:1">
      <c r="A117" s="306"/>
    </row>
    <row r="118" spans="1:1">
      <c r="A118" s="306"/>
    </row>
    <row r="119" spans="1:1">
      <c r="A119" s="306"/>
    </row>
    <row r="120" spans="1:1">
      <c r="A120" s="306"/>
    </row>
    <row r="121" spans="1:1">
      <c r="A121" s="306"/>
    </row>
    <row r="122" spans="1:1">
      <c r="A122" s="306"/>
    </row>
    <row r="123" spans="1:1">
      <c r="A123" s="306"/>
    </row>
    <row r="124" spans="1:1">
      <c r="A124" s="306"/>
    </row>
    <row r="125" spans="1:1">
      <c r="A125" s="306"/>
    </row>
    <row r="126" spans="1:1">
      <c r="A126" s="306"/>
    </row>
    <row r="127" spans="1:1">
      <c r="A127" s="306"/>
    </row>
    <row r="128" spans="1:1">
      <c r="A128" s="306"/>
    </row>
    <row r="129" spans="1:1">
      <c r="A129" s="306"/>
    </row>
    <row r="130" spans="1:1">
      <c r="A130" s="306"/>
    </row>
    <row r="131" spans="1:1">
      <c r="A131" s="306"/>
    </row>
    <row r="132" spans="1:1">
      <c r="A132" s="306"/>
    </row>
    <row r="133" spans="1:1">
      <c r="A133" s="306"/>
    </row>
    <row r="134" spans="1:1">
      <c r="A134" s="306"/>
    </row>
    <row r="135" spans="1:1">
      <c r="A135" s="306"/>
    </row>
    <row r="136" spans="1:1">
      <c r="A136" s="306"/>
    </row>
    <row r="137" spans="1:1">
      <c r="A137" s="306"/>
    </row>
    <row r="138" spans="1:1">
      <c r="A138" s="306"/>
    </row>
    <row r="139" spans="1:1">
      <c r="A139" s="306"/>
    </row>
    <row r="140" spans="1:1">
      <c r="A140" s="306"/>
    </row>
    <row r="141" spans="1:1">
      <c r="A141" s="306"/>
    </row>
    <row r="142" spans="1:1">
      <c r="A142" s="306"/>
    </row>
    <row r="143" spans="1:1">
      <c r="A143" s="306"/>
    </row>
    <row r="144" spans="1:1">
      <c r="A144" s="306"/>
    </row>
    <row r="145" spans="1:1">
      <c r="A145" s="306"/>
    </row>
    <row r="146" spans="1:1">
      <c r="A146" s="306"/>
    </row>
    <row r="147" spans="1:1">
      <c r="A147" s="306"/>
    </row>
    <row r="148" spans="1:1">
      <c r="A148" s="306"/>
    </row>
    <row r="149" spans="1:1">
      <c r="A149" s="306"/>
    </row>
    <row r="150" spans="1:1">
      <c r="A150" s="306"/>
    </row>
    <row r="151" spans="1:1">
      <c r="A151" s="306"/>
    </row>
    <row r="152" spans="1:1">
      <c r="A152" s="306"/>
    </row>
    <row r="153" spans="1:1">
      <c r="A153" s="306"/>
    </row>
    <row r="154" spans="1:1">
      <c r="A154" s="306"/>
    </row>
    <row r="155" spans="1:1">
      <c r="A155" s="306"/>
    </row>
    <row r="156" spans="1:1">
      <c r="A156" s="306"/>
    </row>
    <row r="157" spans="1:1">
      <c r="A157" s="306"/>
    </row>
    <row r="158" spans="1:1">
      <c r="A158" s="306"/>
    </row>
    <row r="159" spans="1:1">
      <c r="A159" s="306"/>
    </row>
    <row r="160" spans="1:1">
      <c r="A160" s="306"/>
    </row>
    <row r="161" spans="1:1">
      <c r="A161" s="306"/>
    </row>
    <row r="162" spans="1:1">
      <c r="A162" s="306"/>
    </row>
    <row r="163" spans="1:1">
      <c r="A163" s="306"/>
    </row>
    <row r="164" spans="1:1">
      <c r="A164" s="306"/>
    </row>
    <row r="165" spans="1:1">
      <c r="A165" s="306"/>
    </row>
    <row r="166" spans="1:1">
      <c r="A166" s="306"/>
    </row>
    <row r="167" spans="1:1">
      <c r="A167" s="306"/>
    </row>
    <row r="168" spans="1:1">
      <c r="A168" s="306"/>
    </row>
    <row r="169" spans="1:1">
      <c r="A169" s="306"/>
    </row>
    <row r="170" spans="1:1">
      <c r="A170" s="306"/>
    </row>
    <row r="171" spans="1:1">
      <c r="A171" s="306"/>
    </row>
    <row r="172" spans="1:1">
      <c r="A172" s="306"/>
    </row>
    <row r="173" spans="1:1">
      <c r="A173" s="306"/>
    </row>
    <row r="174" spans="1:1">
      <c r="A174" s="306"/>
    </row>
    <row r="175" spans="1:1">
      <c r="A175" s="306"/>
    </row>
    <row r="176" spans="1:1">
      <c r="A176" s="306"/>
    </row>
    <row r="177" spans="1:1">
      <c r="A177" s="306"/>
    </row>
    <row r="178" spans="1:1">
      <c r="A178" s="306"/>
    </row>
    <row r="179" spans="1:1">
      <c r="A179" s="306"/>
    </row>
    <row r="180" spans="1:1">
      <c r="A180" s="306"/>
    </row>
    <row r="181" spans="1:1">
      <c r="A181" s="306"/>
    </row>
    <row r="182" spans="1:1">
      <c r="A182" s="306"/>
    </row>
    <row r="183" spans="1:1">
      <c r="A183" s="306"/>
    </row>
    <row r="184" spans="1:1">
      <c r="A184" s="306"/>
    </row>
    <row r="185" spans="1:1">
      <c r="A185" s="306"/>
    </row>
    <row r="186" spans="1:1">
      <c r="A186" s="306"/>
    </row>
    <row r="187" spans="1:1">
      <c r="A187" s="306"/>
    </row>
    <row r="188" spans="1:1">
      <c r="A188" s="306"/>
    </row>
    <row r="189" spans="1:1">
      <c r="A189" s="306"/>
    </row>
    <row r="190" spans="1:1">
      <c r="A190" s="306"/>
    </row>
    <row r="191" spans="1:1">
      <c r="A191" s="306"/>
    </row>
    <row r="192" spans="1:1">
      <c r="A192" s="306"/>
    </row>
    <row r="193" spans="1:1">
      <c r="A193" s="306"/>
    </row>
    <row r="194" spans="1:1">
      <c r="A194" s="306"/>
    </row>
    <row r="195" spans="1:1">
      <c r="A195" s="306"/>
    </row>
    <row r="196" spans="1:1">
      <c r="A196" s="306"/>
    </row>
    <row r="197" spans="1:1">
      <c r="A197" s="306"/>
    </row>
    <row r="198" spans="1:1">
      <c r="A198" s="306"/>
    </row>
    <row r="199" spans="1:1">
      <c r="A199" s="306"/>
    </row>
    <row r="200" spans="1:1">
      <c r="A200" s="306"/>
    </row>
    <row r="201" spans="1:1">
      <c r="A201" s="306"/>
    </row>
    <row r="202" spans="1:1">
      <c r="A202" s="306"/>
    </row>
    <row r="203" spans="1:1">
      <c r="A203" s="306"/>
    </row>
    <row r="204" spans="1:1">
      <c r="A204" s="306"/>
    </row>
    <row r="205" spans="1:1">
      <c r="A205" s="306"/>
    </row>
    <row r="206" spans="1:1">
      <c r="A206" s="306"/>
    </row>
    <row r="207" spans="1:1">
      <c r="A207" s="306"/>
    </row>
    <row r="208" spans="1:1">
      <c r="A208" s="306"/>
    </row>
    <row r="209" spans="1:1">
      <c r="A209" s="306"/>
    </row>
    <row r="210" spans="1:1">
      <c r="A210" s="306"/>
    </row>
    <row r="211" spans="1:1">
      <c r="A211" s="306"/>
    </row>
    <row r="212" spans="1:1">
      <c r="A212" s="306"/>
    </row>
    <row r="213" spans="1:1">
      <c r="A213" s="306"/>
    </row>
    <row r="214" spans="1:1">
      <c r="A214" s="306"/>
    </row>
    <row r="215" spans="1:1">
      <c r="A215" s="306"/>
    </row>
    <row r="216" spans="1:1">
      <c r="A216" s="306"/>
    </row>
    <row r="217" spans="1:1">
      <c r="A217" s="306"/>
    </row>
    <row r="218" spans="1:1">
      <c r="A218" s="306"/>
    </row>
    <row r="219" spans="1:1">
      <c r="A219" s="306"/>
    </row>
    <row r="220" spans="1:1">
      <c r="A220" s="306"/>
    </row>
    <row r="221" spans="1:1">
      <c r="A221" s="306"/>
    </row>
    <row r="222" spans="1:1">
      <c r="A222" s="306"/>
    </row>
    <row r="223" spans="1:1">
      <c r="A223" s="306"/>
    </row>
    <row r="224" spans="1:1">
      <c r="A224" s="306"/>
    </row>
    <row r="225" spans="1:1">
      <c r="A225" s="306"/>
    </row>
    <row r="226" spans="1:1">
      <c r="A226" s="306"/>
    </row>
    <row r="227" spans="1:1">
      <c r="A227" s="306"/>
    </row>
    <row r="228" spans="1:1">
      <c r="A228" s="306"/>
    </row>
    <row r="229" spans="1:1">
      <c r="A229" s="306"/>
    </row>
    <row r="230" spans="1:1">
      <c r="A230" s="306"/>
    </row>
    <row r="231" spans="1:1">
      <c r="A231" s="306"/>
    </row>
    <row r="232" spans="1:1">
      <c r="A232" s="306"/>
    </row>
    <row r="233" spans="1:1">
      <c r="A233" s="306"/>
    </row>
    <row r="234" spans="1:1">
      <c r="A234" s="306"/>
    </row>
    <row r="235" spans="1:1">
      <c r="A235" s="306"/>
    </row>
    <row r="236" spans="1:1">
      <c r="A236" s="306"/>
    </row>
    <row r="237" spans="1:1">
      <c r="A237" s="306"/>
    </row>
    <row r="238" spans="1:1">
      <c r="A238" s="306"/>
    </row>
    <row r="239" spans="1:1">
      <c r="A239" s="306"/>
    </row>
    <row r="240" spans="1:1">
      <c r="A240" s="306"/>
    </row>
    <row r="241" spans="1:1">
      <c r="A241" s="306"/>
    </row>
    <row r="242" spans="1:1">
      <c r="A242" s="306"/>
    </row>
    <row r="243" spans="1:1">
      <c r="A243" s="306"/>
    </row>
    <row r="244" spans="1:1">
      <c r="A244" s="306"/>
    </row>
    <row r="245" spans="1:1">
      <c r="A245" s="306"/>
    </row>
    <row r="246" spans="1:1">
      <c r="A246" s="306"/>
    </row>
    <row r="247" spans="1:1">
      <c r="A247" s="306"/>
    </row>
    <row r="248" spans="1:1">
      <c r="A248" s="306"/>
    </row>
    <row r="249" spans="1:1">
      <c r="A249" s="306"/>
    </row>
    <row r="250" spans="1:1">
      <c r="A250" s="306"/>
    </row>
    <row r="251" spans="1:1">
      <c r="A251" s="306"/>
    </row>
    <row r="252" spans="1:1">
      <c r="A252" s="306"/>
    </row>
    <row r="253" spans="1:1">
      <c r="A253" s="306"/>
    </row>
    <row r="254" spans="1:1">
      <c r="A254" s="306"/>
    </row>
    <row r="255" spans="1:1">
      <c r="A255" s="306"/>
    </row>
    <row r="256" spans="1:1">
      <c r="A256" s="306"/>
    </row>
    <row r="257" spans="1:1">
      <c r="A257" s="306"/>
    </row>
    <row r="258" spans="1:1">
      <c r="A258" s="306"/>
    </row>
    <row r="259" spans="1:1">
      <c r="A259" s="306"/>
    </row>
    <row r="260" spans="1:1">
      <c r="A260" s="306"/>
    </row>
    <row r="261" spans="1:1">
      <c r="A261" s="306"/>
    </row>
    <row r="262" spans="1:1">
      <c r="A262" s="306"/>
    </row>
    <row r="263" spans="1:1">
      <c r="A263" s="306"/>
    </row>
    <row r="264" spans="1:1">
      <c r="A264" s="306"/>
    </row>
    <row r="265" spans="1:1">
      <c r="A265" s="306"/>
    </row>
    <row r="266" spans="1:1">
      <c r="A266" s="306"/>
    </row>
    <row r="267" spans="1:1">
      <c r="A267" s="306"/>
    </row>
    <row r="268" spans="1:1">
      <c r="A268" s="306"/>
    </row>
    <row r="269" spans="1:1">
      <c r="A269" s="306"/>
    </row>
    <row r="270" spans="1:1">
      <c r="A270" s="306"/>
    </row>
    <row r="271" spans="1:1">
      <c r="A271" s="306"/>
    </row>
    <row r="272" spans="1:1">
      <c r="A272" s="306"/>
    </row>
    <row r="273" spans="1:1">
      <c r="A273" s="306"/>
    </row>
    <row r="274" spans="1:1">
      <c r="A274" s="306"/>
    </row>
    <row r="275" spans="1:1">
      <c r="A275" s="306"/>
    </row>
    <row r="276" spans="1:1">
      <c r="A276" s="306"/>
    </row>
    <row r="277" spans="1:1">
      <c r="A277" s="306"/>
    </row>
    <row r="278" spans="1:1">
      <c r="A278" s="306"/>
    </row>
    <row r="279" spans="1:1">
      <c r="A279" s="306"/>
    </row>
    <row r="280" spans="1:1">
      <c r="A280" s="306"/>
    </row>
    <row r="281" spans="1:1">
      <c r="A281" s="306"/>
    </row>
    <row r="282" spans="1:1">
      <c r="A282" s="306"/>
    </row>
    <row r="283" spans="1:1">
      <c r="A283" s="306"/>
    </row>
    <row r="284" spans="1:1">
      <c r="A284" s="306"/>
    </row>
    <row r="285" spans="1:1">
      <c r="A285" s="306"/>
    </row>
    <row r="286" spans="1:1">
      <c r="A286" s="306"/>
    </row>
    <row r="287" spans="1:1">
      <c r="A287" s="306"/>
    </row>
    <row r="288" spans="1:1">
      <c r="A288" s="306"/>
    </row>
    <row r="289" spans="1:1">
      <c r="A289" s="306"/>
    </row>
    <row r="290" spans="1:1">
      <c r="A290" s="306"/>
    </row>
    <row r="291" spans="1:1">
      <c r="A291" s="306"/>
    </row>
    <row r="292" spans="1:1">
      <c r="A292" s="306"/>
    </row>
    <row r="293" spans="1:1">
      <c r="A293" s="306"/>
    </row>
    <row r="294" spans="1:1">
      <c r="A294" s="306"/>
    </row>
    <row r="295" spans="1:1">
      <c r="A295" s="306"/>
    </row>
    <row r="296" spans="1:1">
      <c r="A296" s="306"/>
    </row>
    <row r="297" spans="1:1">
      <c r="A297" s="306"/>
    </row>
    <row r="298" spans="1:1">
      <c r="A298" s="306"/>
    </row>
    <row r="299" spans="1:1">
      <c r="A299" s="306"/>
    </row>
    <row r="300" spans="1:1">
      <c r="A300" s="306"/>
    </row>
    <row r="301" spans="1:1">
      <c r="A301" s="306"/>
    </row>
    <row r="302" spans="1:1">
      <c r="A302" s="306"/>
    </row>
    <row r="303" spans="1:1">
      <c r="A303" s="306"/>
    </row>
    <row r="304" spans="1:1">
      <c r="A304" s="306"/>
    </row>
    <row r="305" spans="1:1">
      <c r="A305" s="306"/>
    </row>
    <row r="306" spans="1:1">
      <c r="A306" s="306"/>
    </row>
    <row r="307" spans="1:1">
      <c r="A307" s="306"/>
    </row>
    <row r="308" spans="1:1">
      <c r="A308" s="306"/>
    </row>
    <row r="309" spans="1:1">
      <c r="A309" s="306"/>
    </row>
    <row r="310" spans="1:1">
      <c r="A310" s="306"/>
    </row>
    <row r="311" spans="1:1">
      <c r="A311" s="306"/>
    </row>
    <row r="312" spans="1:1">
      <c r="A312" s="306"/>
    </row>
    <row r="313" spans="1:1">
      <c r="A313" s="306"/>
    </row>
    <row r="314" spans="1:1">
      <c r="A314" s="306"/>
    </row>
    <row r="315" spans="1:1">
      <c r="A315" s="306"/>
    </row>
    <row r="316" spans="1:1">
      <c r="A316" s="306"/>
    </row>
    <row r="317" spans="1:1">
      <c r="A317" s="306"/>
    </row>
    <row r="318" spans="1:1">
      <c r="A318" s="306"/>
    </row>
    <row r="319" spans="1:1">
      <c r="A319" s="306"/>
    </row>
    <row r="320" spans="1:1">
      <c r="A320" s="306"/>
    </row>
    <row r="321" spans="1:1">
      <c r="A321" s="306"/>
    </row>
    <row r="322" spans="1:1">
      <c r="A322" s="306"/>
    </row>
    <row r="323" spans="1:1">
      <c r="A323" s="306"/>
    </row>
    <row r="324" spans="1:1">
      <c r="A324" s="306"/>
    </row>
    <row r="325" spans="1:1">
      <c r="A325" s="306"/>
    </row>
    <row r="326" spans="1:1">
      <c r="A326" s="306"/>
    </row>
    <row r="327" spans="1:1">
      <c r="A327" s="306"/>
    </row>
    <row r="328" spans="1:1">
      <c r="A328" s="306"/>
    </row>
    <row r="329" spans="1:1">
      <c r="A329" s="306"/>
    </row>
    <row r="330" spans="1:1">
      <c r="A330" s="306"/>
    </row>
    <row r="331" spans="1:1">
      <c r="A331" s="306"/>
    </row>
    <row r="332" spans="1:1">
      <c r="A332" s="306"/>
    </row>
    <row r="333" spans="1:1">
      <c r="A333" s="306"/>
    </row>
    <row r="334" spans="1:1">
      <c r="A334" s="306"/>
    </row>
    <row r="335" spans="1:1">
      <c r="A335" s="306"/>
    </row>
    <row r="336" spans="1:1">
      <c r="A336" s="306"/>
    </row>
    <row r="337" spans="1:1">
      <c r="A337" s="306"/>
    </row>
    <row r="338" spans="1:1">
      <c r="A338" s="306"/>
    </row>
    <row r="339" spans="1:1">
      <c r="A339" s="306"/>
    </row>
    <row r="340" spans="1:1">
      <c r="A340" s="306"/>
    </row>
    <row r="341" spans="1:1">
      <c r="A341" s="306"/>
    </row>
    <row r="342" spans="1:1">
      <c r="A342" s="306"/>
    </row>
    <row r="343" spans="1:1">
      <c r="A343" s="306"/>
    </row>
    <row r="344" spans="1:1">
      <c r="A344" s="306"/>
    </row>
    <row r="345" spans="1:1">
      <c r="A345" s="306"/>
    </row>
    <row r="346" spans="1:1">
      <c r="A346" s="306"/>
    </row>
    <row r="347" spans="1:1">
      <c r="A347" s="306"/>
    </row>
    <row r="348" spans="1:1">
      <c r="A348" s="306"/>
    </row>
    <row r="349" spans="1:1">
      <c r="A349" s="306"/>
    </row>
    <row r="350" spans="1:1">
      <c r="A350" s="306"/>
    </row>
    <row r="351" spans="1:1">
      <c r="A351" s="306"/>
    </row>
    <row r="352" spans="1:1">
      <c r="A352" s="306"/>
    </row>
    <row r="353" spans="1:1">
      <c r="A353" s="306"/>
    </row>
    <row r="354" spans="1:1">
      <c r="A354" s="306"/>
    </row>
    <row r="355" spans="1:1">
      <c r="A355" s="306"/>
    </row>
    <row r="356" spans="1:1">
      <c r="A356" s="306"/>
    </row>
    <row r="357" spans="1:1">
      <c r="A357" s="306"/>
    </row>
    <row r="358" spans="1:1">
      <c r="A358" s="306"/>
    </row>
    <row r="359" spans="1:1">
      <c r="A359" s="306"/>
    </row>
    <row r="360" spans="1:1">
      <c r="A360" s="306"/>
    </row>
    <row r="361" spans="1:1">
      <c r="A361" s="306"/>
    </row>
    <row r="362" spans="1:1">
      <c r="A362" s="306"/>
    </row>
    <row r="363" spans="1:1">
      <c r="A363" s="306"/>
    </row>
    <row r="364" spans="1:1">
      <c r="A364" s="306"/>
    </row>
    <row r="365" spans="1:1">
      <c r="A365" s="306"/>
    </row>
    <row r="366" spans="1:1">
      <c r="A366" s="306"/>
    </row>
    <row r="367" spans="1:1">
      <c r="A367" s="306"/>
    </row>
    <row r="368" spans="1:1">
      <c r="A368" s="306"/>
    </row>
    <row r="369" spans="1:1">
      <c r="A369" s="306"/>
    </row>
    <row r="370" spans="1:1">
      <c r="A370" s="306"/>
    </row>
    <row r="371" spans="1:1">
      <c r="A371" s="306"/>
    </row>
    <row r="372" spans="1:1">
      <c r="A372" s="306"/>
    </row>
    <row r="373" spans="1:1">
      <c r="A373" s="306"/>
    </row>
    <row r="374" spans="1:1">
      <c r="A374" s="306"/>
    </row>
    <row r="375" spans="1:1">
      <c r="A375" s="306"/>
    </row>
    <row r="376" spans="1:1">
      <c r="A376" s="306"/>
    </row>
    <row r="377" spans="1:1">
      <c r="A377" s="306"/>
    </row>
    <row r="378" spans="1:1">
      <c r="A378" s="306"/>
    </row>
    <row r="379" spans="1:1">
      <c r="A379" s="306"/>
    </row>
    <row r="380" spans="1:1">
      <c r="A380" s="306"/>
    </row>
    <row r="381" spans="1:1">
      <c r="A381" s="306"/>
    </row>
    <row r="382" spans="1:1">
      <c r="A382" s="306"/>
    </row>
    <row r="383" spans="1:1">
      <c r="A383" s="306"/>
    </row>
    <row r="384" spans="1:1">
      <c r="A384" s="306"/>
    </row>
    <row r="385" spans="1:1">
      <c r="A385" s="306"/>
    </row>
    <row r="386" spans="1:1">
      <c r="A386" s="306"/>
    </row>
    <row r="387" spans="1:1">
      <c r="A387" s="306"/>
    </row>
    <row r="388" spans="1:1">
      <c r="A388" s="306"/>
    </row>
    <row r="389" spans="1:1">
      <c r="A389" s="306"/>
    </row>
    <row r="390" spans="1:1">
      <c r="A390" s="306"/>
    </row>
    <row r="391" spans="1:1">
      <c r="A391" s="306"/>
    </row>
    <row r="392" spans="1:1">
      <c r="A392" s="306"/>
    </row>
    <row r="393" spans="1:1">
      <c r="A393" s="306"/>
    </row>
    <row r="394" spans="1:1">
      <c r="A394" s="306"/>
    </row>
    <row r="395" spans="1:1">
      <c r="A395" s="306"/>
    </row>
    <row r="396" spans="1:1">
      <c r="A396" s="306"/>
    </row>
    <row r="397" spans="1:1">
      <c r="A397" s="306"/>
    </row>
    <row r="398" spans="1:1">
      <c r="A398" s="306"/>
    </row>
    <row r="399" spans="1:1">
      <c r="A399" s="306"/>
    </row>
    <row r="400" spans="1:1">
      <c r="A400" s="306"/>
    </row>
    <row r="401" spans="1:1">
      <c r="A401" s="306"/>
    </row>
    <row r="402" spans="1:1">
      <c r="A402" s="306"/>
    </row>
    <row r="403" spans="1:1">
      <c r="A403" s="306"/>
    </row>
    <row r="404" spans="1:1">
      <c r="A404" s="306"/>
    </row>
    <row r="405" spans="1:1">
      <c r="A405" s="306"/>
    </row>
    <row r="406" spans="1:1">
      <c r="A406" s="306"/>
    </row>
    <row r="407" spans="1:1">
      <c r="A407" s="306"/>
    </row>
    <row r="408" spans="1:1">
      <c r="A408" s="306"/>
    </row>
    <row r="409" spans="1:1">
      <c r="A409" s="306"/>
    </row>
    <row r="410" spans="1:1">
      <c r="A410" s="306"/>
    </row>
    <row r="411" spans="1:1">
      <c r="A411" s="306"/>
    </row>
    <row r="412" spans="1:1">
      <c r="A412" s="306"/>
    </row>
    <row r="413" spans="1:1">
      <c r="A413" s="306"/>
    </row>
    <row r="414" spans="1:1">
      <c r="A414" s="306"/>
    </row>
    <row r="415" spans="1:1">
      <c r="A415" s="306"/>
    </row>
    <row r="416" spans="1:1">
      <c r="A416" s="306"/>
    </row>
    <row r="417" spans="1:1">
      <c r="A417" s="306"/>
    </row>
    <row r="418" spans="1:1">
      <c r="A418" s="306"/>
    </row>
    <row r="419" spans="1:1">
      <c r="A419" s="306"/>
    </row>
    <row r="420" spans="1:1">
      <c r="A420" s="306"/>
    </row>
    <row r="421" spans="1:1">
      <c r="A421" s="306"/>
    </row>
    <row r="422" spans="1:1">
      <c r="A422" s="306"/>
    </row>
    <row r="423" spans="1:1">
      <c r="A423" s="306"/>
    </row>
    <row r="424" spans="1:1">
      <c r="A424" s="306"/>
    </row>
    <row r="425" spans="1:1">
      <c r="A425" s="306"/>
    </row>
    <row r="426" spans="1:1">
      <c r="A426" s="306"/>
    </row>
    <row r="427" spans="1:1">
      <c r="A427" s="306"/>
    </row>
    <row r="428" spans="1:1">
      <c r="A428" s="306"/>
    </row>
    <row r="429" spans="1:1">
      <c r="A429" s="306"/>
    </row>
    <row r="430" spans="1:1">
      <c r="A430" s="306"/>
    </row>
    <row r="431" spans="1:1">
      <c r="A431" s="306"/>
    </row>
    <row r="432" spans="1:1">
      <c r="A432" s="306"/>
    </row>
    <row r="433" spans="1:1">
      <c r="A433" s="306"/>
    </row>
    <row r="434" spans="1:1">
      <c r="A434" s="306"/>
    </row>
    <row r="435" spans="1:1">
      <c r="A435" s="306"/>
    </row>
    <row r="436" spans="1:1">
      <c r="A436" s="306"/>
    </row>
    <row r="437" spans="1:1">
      <c r="A437" s="306"/>
    </row>
    <row r="438" spans="1:1">
      <c r="A438" s="306"/>
    </row>
    <row r="439" spans="1:1">
      <c r="A439" s="306"/>
    </row>
    <row r="440" spans="1:1">
      <c r="A440" s="306"/>
    </row>
    <row r="441" spans="1:1">
      <c r="A441" s="306"/>
    </row>
    <row r="442" spans="1:1">
      <c r="A442" s="306"/>
    </row>
    <row r="443" spans="1:1">
      <c r="A443" s="306"/>
    </row>
    <row r="444" spans="1:1">
      <c r="A444" s="306"/>
    </row>
    <row r="445" spans="1:1">
      <c r="A445" s="306"/>
    </row>
    <row r="446" spans="1:1">
      <c r="A446" s="306"/>
    </row>
    <row r="447" spans="1:1">
      <c r="A447" s="306"/>
    </row>
    <row r="448" spans="1:1">
      <c r="A448" s="306"/>
    </row>
    <row r="449" spans="1:1">
      <c r="A449" s="306"/>
    </row>
    <row r="450" spans="1:1">
      <c r="A450" s="306"/>
    </row>
    <row r="451" spans="1:1">
      <c r="A451" s="306"/>
    </row>
    <row r="452" spans="1:1">
      <c r="A452" s="306"/>
    </row>
    <row r="453" spans="1:1">
      <c r="A453" s="306"/>
    </row>
    <row r="454" spans="1:1">
      <c r="A454" s="306"/>
    </row>
    <row r="455" spans="1:1">
      <c r="A455" s="306"/>
    </row>
    <row r="456" spans="1:1">
      <c r="A456" s="306"/>
    </row>
    <row r="457" spans="1:1">
      <c r="A457" s="306"/>
    </row>
    <row r="458" spans="1:1">
      <c r="A458" s="306"/>
    </row>
    <row r="459" spans="1:1">
      <c r="A459" s="306"/>
    </row>
    <row r="460" spans="1:1">
      <c r="A460" s="306"/>
    </row>
    <row r="461" spans="1:1">
      <c r="A461" s="306"/>
    </row>
    <row r="462" spans="1:1">
      <c r="A462" s="306"/>
    </row>
    <row r="463" spans="1:1">
      <c r="A463" s="306"/>
    </row>
    <row r="464" spans="1:1">
      <c r="A464" s="306"/>
    </row>
    <row r="465" spans="1:1">
      <c r="A465" s="306"/>
    </row>
    <row r="466" spans="1:1">
      <c r="A466" s="306"/>
    </row>
    <row r="467" spans="1:1">
      <c r="A467" s="306"/>
    </row>
    <row r="468" spans="1:1">
      <c r="A468" s="306"/>
    </row>
    <row r="469" spans="1:1">
      <c r="A469" s="306"/>
    </row>
    <row r="470" spans="1:1">
      <c r="A470" s="306"/>
    </row>
    <row r="471" spans="1:1">
      <c r="A471" s="306"/>
    </row>
    <row r="472" spans="1:1">
      <c r="A472" s="306"/>
    </row>
    <row r="473" spans="1:1">
      <c r="A473" s="306"/>
    </row>
    <row r="474" spans="1:1">
      <c r="A474" s="306"/>
    </row>
    <row r="475" spans="1:1">
      <c r="A475" s="306"/>
    </row>
    <row r="476" spans="1:1">
      <c r="A476" s="306"/>
    </row>
    <row r="477" spans="1:1">
      <c r="A477" s="306"/>
    </row>
    <row r="478" spans="1:1">
      <c r="A478" s="306"/>
    </row>
    <row r="479" spans="1:1">
      <c r="A479" s="306"/>
    </row>
    <row r="480" spans="1:1">
      <c r="A480" s="306"/>
    </row>
    <row r="481" spans="1:1">
      <c r="A481" s="306"/>
    </row>
    <row r="482" spans="1:1">
      <c r="A482" s="306"/>
    </row>
    <row r="483" spans="1:1">
      <c r="A483" s="306"/>
    </row>
    <row r="484" spans="1:1">
      <c r="A484" s="306"/>
    </row>
    <row r="485" spans="1:1">
      <c r="A485" s="306"/>
    </row>
    <row r="486" spans="1:1">
      <c r="A486" s="306"/>
    </row>
    <row r="487" spans="1:1">
      <c r="A487" s="306"/>
    </row>
    <row r="488" spans="1:1">
      <c r="A488" s="306"/>
    </row>
    <row r="489" spans="1:1">
      <c r="A489" s="306"/>
    </row>
    <row r="490" spans="1:1">
      <c r="A490" s="306"/>
    </row>
    <row r="491" spans="1:1">
      <c r="A491" s="306"/>
    </row>
    <row r="492" spans="1:1">
      <c r="A492" s="306"/>
    </row>
    <row r="493" spans="1:1">
      <c r="A493" s="306"/>
    </row>
    <row r="494" spans="1:1">
      <c r="A494" s="306"/>
    </row>
    <row r="495" spans="1:1">
      <c r="A495" s="306"/>
    </row>
    <row r="496" spans="1:1">
      <c r="A496" s="306"/>
    </row>
    <row r="497" spans="1:1">
      <c r="A497" s="306"/>
    </row>
    <row r="498" spans="1:1">
      <c r="A498" s="306"/>
    </row>
    <row r="499" spans="1:1">
      <c r="A499" s="306"/>
    </row>
    <row r="500" spans="1:1">
      <c r="A500" s="306"/>
    </row>
    <row r="501" spans="1:1">
      <c r="A501" s="306"/>
    </row>
    <row r="502" spans="1:1">
      <c r="A502" s="306"/>
    </row>
    <row r="503" spans="1:1">
      <c r="A503" s="306"/>
    </row>
    <row r="504" spans="1:1">
      <c r="A504" s="306"/>
    </row>
    <row r="505" spans="1:1">
      <c r="A505" s="306"/>
    </row>
    <row r="506" spans="1:1">
      <c r="A506" s="306"/>
    </row>
    <row r="507" spans="1:1">
      <c r="A507" s="306"/>
    </row>
    <row r="508" spans="1:1">
      <c r="A508" s="306"/>
    </row>
    <row r="509" spans="1:1">
      <c r="A509" s="306"/>
    </row>
    <row r="510" spans="1:1">
      <c r="A510" s="306"/>
    </row>
    <row r="511" spans="1:1">
      <c r="A511" s="306"/>
    </row>
    <row r="512" spans="1:1">
      <c r="A512" s="306"/>
    </row>
    <row r="513" spans="1:1">
      <c r="A513" s="306"/>
    </row>
    <row r="514" spans="1:1">
      <c r="A514" s="306"/>
    </row>
    <row r="515" spans="1:1">
      <c r="A515" s="306"/>
    </row>
    <row r="516" spans="1:1">
      <c r="A516" s="306"/>
    </row>
    <row r="517" spans="1:1">
      <c r="A517" s="306"/>
    </row>
    <row r="518" spans="1:1">
      <c r="A518" s="306"/>
    </row>
    <row r="519" spans="1:1">
      <c r="A519" s="306"/>
    </row>
    <row r="520" spans="1:1">
      <c r="A520" s="306"/>
    </row>
    <row r="521" spans="1:1">
      <c r="A521" s="306"/>
    </row>
    <row r="522" spans="1:1">
      <c r="A522" s="306"/>
    </row>
    <row r="523" spans="1:1">
      <c r="A523" s="306"/>
    </row>
    <row r="524" spans="1:1">
      <c r="A524" s="306"/>
    </row>
    <row r="525" spans="1:1">
      <c r="A525" s="306"/>
    </row>
    <row r="526" spans="1:1">
      <c r="A526" s="306"/>
    </row>
    <row r="527" spans="1:1">
      <c r="A527" s="306"/>
    </row>
    <row r="528" spans="1:1">
      <c r="A528" s="306"/>
    </row>
    <row r="529" spans="1:1">
      <c r="A529" s="306"/>
    </row>
    <row r="530" spans="1:1">
      <c r="A530" s="306"/>
    </row>
    <row r="531" spans="1:1">
      <c r="A531" s="306"/>
    </row>
    <row r="532" spans="1:1">
      <c r="A532" s="306"/>
    </row>
    <row r="533" spans="1:1">
      <c r="A533" s="306"/>
    </row>
    <row r="534" spans="1:1">
      <c r="A534" s="306"/>
    </row>
    <row r="535" spans="1:1">
      <c r="A535" s="306"/>
    </row>
    <row r="536" spans="1:1">
      <c r="A536" s="306"/>
    </row>
    <row r="537" spans="1:1">
      <c r="A537" s="306"/>
    </row>
    <row r="538" spans="1:1">
      <c r="A538" s="306"/>
    </row>
    <row r="539" spans="1:1">
      <c r="A539" s="306"/>
    </row>
    <row r="540" spans="1:1">
      <c r="A540" s="306"/>
    </row>
    <row r="541" spans="1:1">
      <c r="A541" s="306"/>
    </row>
    <row r="542" spans="1:1">
      <c r="A542" s="306"/>
    </row>
    <row r="543" spans="1:1">
      <c r="A543" s="306"/>
    </row>
    <row r="544" spans="1:1">
      <c r="A544" s="306"/>
    </row>
    <row r="545" spans="1:1">
      <c r="A545" s="306"/>
    </row>
    <row r="546" spans="1:1">
      <c r="A546" s="306"/>
    </row>
    <row r="547" spans="1:1">
      <c r="A547" s="306"/>
    </row>
    <row r="548" spans="1:1">
      <c r="A548" s="306"/>
    </row>
    <row r="549" spans="1:1">
      <c r="A549" s="306"/>
    </row>
    <row r="550" spans="1:1">
      <c r="A550" s="306"/>
    </row>
    <row r="551" spans="1:1">
      <c r="A551" s="306"/>
    </row>
    <row r="552" spans="1:1">
      <c r="A552" s="306"/>
    </row>
    <row r="553" spans="1:1">
      <c r="A553" s="306"/>
    </row>
    <row r="554" spans="1:1">
      <c r="A554" s="306"/>
    </row>
    <row r="555" spans="1:1">
      <c r="A555" s="306"/>
    </row>
    <row r="556" spans="1:1">
      <c r="A556" s="306"/>
    </row>
    <row r="557" spans="1:1">
      <c r="A557" s="306"/>
    </row>
    <row r="558" spans="1:1">
      <c r="A558" s="306"/>
    </row>
    <row r="559" spans="1:1">
      <c r="A559" s="306"/>
    </row>
    <row r="560" spans="1:1">
      <c r="A560" s="306"/>
    </row>
    <row r="561" spans="1:1">
      <c r="A561" s="306"/>
    </row>
    <row r="562" spans="1:1">
      <c r="A562" s="306"/>
    </row>
    <row r="563" spans="1:1">
      <c r="A563" s="306"/>
    </row>
    <row r="564" spans="1:1">
      <c r="A564" s="306"/>
    </row>
    <row r="565" spans="1:1">
      <c r="A565" s="306"/>
    </row>
    <row r="566" spans="1:1">
      <c r="A566" s="306"/>
    </row>
    <row r="567" spans="1:1">
      <c r="A567" s="306"/>
    </row>
    <row r="568" spans="1:1">
      <c r="A568" s="306"/>
    </row>
    <row r="569" spans="1:1">
      <c r="A569" s="306"/>
    </row>
    <row r="570" spans="1:1">
      <c r="A570" s="306"/>
    </row>
    <row r="571" spans="1:1">
      <c r="A571" s="306"/>
    </row>
    <row r="572" spans="1:1">
      <c r="A572" s="306"/>
    </row>
    <row r="573" spans="1:1">
      <c r="A573" s="306"/>
    </row>
    <row r="574" spans="1:1">
      <c r="A574" s="306"/>
    </row>
    <row r="575" spans="1:1">
      <c r="A575" s="306"/>
    </row>
    <row r="576" spans="1:1">
      <c r="A576" s="306"/>
    </row>
    <row r="577" spans="1:1">
      <c r="A577" s="306"/>
    </row>
    <row r="578" spans="1:1">
      <c r="A578" s="306"/>
    </row>
    <row r="579" spans="1:1">
      <c r="A579" s="306"/>
    </row>
    <row r="580" spans="1:1">
      <c r="A580" s="306"/>
    </row>
    <row r="581" spans="1:1">
      <c r="A581" s="306"/>
    </row>
    <row r="582" spans="1:1">
      <c r="A582" s="306"/>
    </row>
    <row r="583" spans="1:1">
      <c r="A583" s="306"/>
    </row>
    <row r="584" spans="1:1">
      <c r="A584" s="306"/>
    </row>
    <row r="585" spans="1:1">
      <c r="A585" s="306"/>
    </row>
    <row r="586" spans="1:1">
      <c r="A586" s="306"/>
    </row>
    <row r="587" spans="1:1">
      <c r="A587" s="306"/>
    </row>
    <row r="588" spans="1:1">
      <c r="A588" s="306"/>
    </row>
    <row r="589" spans="1:1">
      <c r="A589" s="306"/>
    </row>
    <row r="590" spans="1:1">
      <c r="A590" s="306"/>
    </row>
    <row r="591" spans="1:1">
      <c r="A591" s="306"/>
    </row>
    <row r="592" spans="1:1">
      <c r="A592" s="306"/>
    </row>
    <row r="593" spans="1:1">
      <c r="A593" s="306"/>
    </row>
    <row r="594" spans="1:1">
      <c r="A594" s="306"/>
    </row>
    <row r="595" spans="1:1">
      <c r="A595" s="306"/>
    </row>
    <row r="596" spans="1:1">
      <c r="A596" s="306"/>
    </row>
    <row r="597" spans="1:1">
      <c r="A597" s="306"/>
    </row>
    <row r="598" spans="1:1">
      <c r="A598" s="306"/>
    </row>
    <row r="599" spans="1:1">
      <c r="A599" s="306"/>
    </row>
    <row r="600" spans="1:1">
      <c r="A600" s="306"/>
    </row>
    <row r="601" spans="1:1">
      <c r="A601" s="306"/>
    </row>
    <row r="602" spans="1:1">
      <c r="A602" s="306"/>
    </row>
    <row r="603" spans="1:1">
      <c r="A603" s="306"/>
    </row>
    <row r="604" spans="1:1">
      <c r="A604" s="306"/>
    </row>
    <row r="605" spans="1:1">
      <c r="A605" s="306"/>
    </row>
    <row r="606" spans="1:1">
      <c r="A606" s="306"/>
    </row>
    <row r="607" spans="1:1">
      <c r="A607" s="306"/>
    </row>
    <row r="608" spans="1:1">
      <c r="A608" s="306"/>
    </row>
    <row r="609" spans="1:1">
      <c r="A609" s="306"/>
    </row>
    <row r="610" spans="1:1">
      <c r="A610" s="306"/>
    </row>
    <row r="611" spans="1:1">
      <c r="A611" s="306"/>
    </row>
    <row r="612" spans="1:1">
      <c r="A612" s="306"/>
    </row>
    <row r="613" spans="1:1">
      <c r="A613" s="306"/>
    </row>
    <row r="614" spans="1:1">
      <c r="A614" s="306"/>
    </row>
    <row r="615" spans="1:1">
      <c r="A615" s="306"/>
    </row>
    <row r="616" spans="1:1">
      <c r="A616" s="306"/>
    </row>
    <row r="617" spans="1:1">
      <c r="A617" s="306"/>
    </row>
    <row r="618" spans="1:1">
      <c r="A618" s="306"/>
    </row>
    <row r="619" spans="1:1">
      <c r="A619" s="306"/>
    </row>
    <row r="620" spans="1:1">
      <c r="A620" s="306"/>
    </row>
    <row r="621" spans="1:1">
      <c r="A621" s="306"/>
    </row>
    <row r="622" spans="1:1">
      <c r="A622" s="306"/>
    </row>
    <row r="623" spans="1:1">
      <c r="A623" s="306"/>
    </row>
    <row r="624" spans="1:1">
      <c r="A624" s="306"/>
    </row>
    <row r="625" spans="1:1">
      <c r="A625" s="306"/>
    </row>
    <row r="626" spans="1:1">
      <c r="A626" s="306"/>
    </row>
    <row r="627" spans="1:1">
      <c r="A627" s="306"/>
    </row>
    <row r="628" spans="1:1">
      <c r="A628" s="306"/>
    </row>
    <row r="629" spans="1:1">
      <c r="A629" s="306"/>
    </row>
    <row r="630" spans="1:1">
      <c r="A630" s="306"/>
    </row>
    <row r="631" spans="1:1">
      <c r="A631" s="306"/>
    </row>
    <row r="632" spans="1:1">
      <c r="A632" s="306"/>
    </row>
    <row r="633" spans="1:1">
      <c r="A633" s="306"/>
    </row>
    <row r="634" spans="1:1">
      <c r="A634" s="306"/>
    </row>
    <row r="635" spans="1:1">
      <c r="A635" s="306"/>
    </row>
    <row r="636" spans="1:1">
      <c r="A636" s="306"/>
    </row>
    <row r="637" spans="1:1">
      <c r="A637" s="306"/>
    </row>
    <row r="638" spans="1:1">
      <c r="A638" s="306"/>
    </row>
    <row r="639" spans="1:1">
      <c r="A639" s="306"/>
    </row>
    <row r="640" spans="1:1">
      <c r="A640" s="306"/>
    </row>
    <row r="641" spans="1:1">
      <c r="A641" s="306"/>
    </row>
    <row r="642" spans="1:1">
      <c r="A642" s="306"/>
    </row>
    <row r="643" spans="1:1">
      <c r="A643" s="306"/>
    </row>
    <row r="644" spans="1:1">
      <c r="A644" s="306"/>
    </row>
    <row r="645" spans="1:1">
      <c r="A645" s="306"/>
    </row>
    <row r="646" spans="1:1">
      <c r="A646" s="306"/>
    </row>
    <row r="647" spans="1:1">
      <c r="A647" s="306"/>
    </row>
    <row r="648" spans="1:1">
      <c r="A648" s="306"/>
    </row>
    <row r="649" spans="1:1">
      <c r="A649" s="306"/>
    </row>
    <row r="650" spans="1:1">
      <c r="A650" s="306"/>
    </row>
    <row r="651" spans="1:1">
      <c r="A651" s="306"/>
    </row>
    <row r="652" spans="1:1">
      <c r="A652" s="306"/>
    </row>
    <row r="653" spans="1:1">
      <c r="A653" s="306"/>
    </row>
    <row r="654" spans="1:1">
      <c r="A654" s="306"/>
    </row>
    <row r="655" spans="1:1">
      <c r="A655" s="306"/>
    </row>
    <row r="656" spans="1:1">
      <c r="A656" s="306"/>
    </row>
    <row r="657" spans="1:1">
      <c r="A657" s="306"/>
    </row>
    <row r="658" spans="1:1">
      <c r="A658" s="306"/>
    </row>
    <row r="659" spans="1:1">
      <c r="A659" s="306"/>
    </row>
    <row r="660" spans="1:1">
      <c r="A660" s="306"/>
    </row>
    <row r="661" spans="1:1">
      <c r="A661" s="306"/>
    </row>
    <row r="662" spans="1:1">
      <c r="A662" s="306"/>
    </row>
    <row r="663" spans="1:1">
      <c r="A663" s="306"/>
    </row>
    <row r="664" spans="1:1">
      <c r="A664" s="306"/>
    </row>
    <row r="665" spans="1:1">
      <c r="A665" s="306"/>
    </row>
    <row r="666" spans="1:1">
      <c r="A666" s="306"/>
    </row>
    <row r="667" spans="1:1">
      <c r="A667" s="306"/>
    </row>
    <row r="668" spans="1:1">
      <c r="A668" s="306"/>
    </row>
    <row r="669" spans="1:1">
      <c r="A669" s="306"/>
    </row>
    <row r="670" spans="1:1">
      <c r="A670" s="306"/>
    </row>
    <row r="671" spans="1:1">
      <c r="A671" s="306"/>
    </row>
    <row r="672" spans="1:1">
      <c r="A672" s="306"/>
    </row>
    <row r="673" spans="1:1">
      <c r="A673" s="306"/>
    </row>
    <row r="674" spans="1:1">
      <c r="A674" s="306"/>
    </row>
    <row r="675" spans="1:1">
      <c r="A675" s="306"/>
    </row>
    <row r="676" spans="1:1">
      <c r="A676" s="306"/>
    </row>
    <row r="677" spans="1:1">
      <c r="A677" s="306"/>
    </row>
    <row r="678" spans="1:1">
      <c r="A678" s="306"/>
    </row>
    <row r="679" spans="1:1">
      <c r="A679" s="306"/>
    </row>
    <row r="680" spans="1:1">
      <c r="A680" s="306"/>
    </row>
    <row r="681" spans="1:1">
      <c r="A681" s="306"/>
    </row>
    <row r="682" spans="1:1">
      <c r="A682" s="306"/>
    </row>
    <row r="683" spans="1:1">
      <c r="A683" s="306"/>
    </row>
    <row r="684" spans="1:1">
      <c r="A684" s="306"/>
    </row>
    <row r="685" spans="1:1">
      <c r="A685" s="306"/>
    </row>
    <row r="686" spans="1:1">
      <c r="A686" s="306"/>
    </row>
    <row r="687" spans="1:1">
      <c r="A687" s="306"/>
    </row>
    <row r="688" spans="1:1">
      <c r="A688" s="306"/>
    </row>
    <row r="689" spans="1:1">
      <c r="A689" s="306"/>
    </row>
    <row r="690" spans="1:1">
      <c r="A690" s="306"/>
    </row>
    <row r="691" spans="1:1">
      <c r="A691" s="306"/>
    </row>
    <row r="692" spans="1:1">
      <c r="A692" s="306"/>
    </row>
    <row r="693" spans="1:1">
      <c r="A693" s="306"/>
    </row>
    <row r="694" spans="1:1">
      <c r="A694" s="306"/>
    </row>
    <row r="695" spans="1:1">
      <c r="A695" s="306"/>
    </row>
    <row r="696" spans="1:1">
      <c r="A696" s="306"/>
    </row>
    <row r="697" spans="1:1">
      <c r="A697" s="306"/>
    </row>
    <row r="698" spans="1:1">
      <c r="A698" s="306"/>
    </row>
    <row r="699" spans="1:1">
      <c r="A699" s="306"/>
    </row>
    <row r="700" spans="1:1">
      <c r="A700" s="306"/>
    </row>
    <row r="701" spans="1:1">
      <c r="A701" s="306"/>
    </row>
    <row r="702" spans="1:1">
      <c r="A702" s="306"/>
    </row>
    <row r="703" spans="1:1">
      <c r="A703" s="306"/>
    </row>
    <row r="704" spans="1:1">
      <c r="A704" s="306"/>
    </row>
    <row r="705" spans="1:1">
      <c r="A705" s="306"/>
    </row>
    <row r="706" spans="1:1">
      <c r="A706" s="306"/>
    </row>
    <row r="707" spans="1:1">
      <c r="A707" s="306"/>
    </row>
    <row r="708" spans="1:1">
      <c r="A708" s="306"/>
    </row>
    <row r="709" spans="1:1">
      <c r="A709" s="306"/>
    </row>
    <row r="710" spans="1:1">
      <c r="A710" s="306"/>
    </row>
    <row r="711" spans="1:1">
      <c r="A711" s="306"/>
    </row>
    <row r="712" spans="1:1">
      <c r="A712" s="306"/>
    </row>
    <row r="713" spans="1:1">
      <c r="A713" s="306"/>
    </row>
    <row r="714" spans="1:1">
      <c r="A714" s="306"/>
    </row>
    <row r="715" spans="1:1">
      <c r="A715" s="306"/>
    </row>
    <row r="716" spans="1:1">
      <c r="A716" s="306"/>
    </row>
    <row r="717" spans="1:1">
      <c r="A717" s="306"/>
    </row>
    <row r="718" spans="1:1">
      <c r="A718" s="306"/>
    </row>
    <row r="719" spans="1:1">
      <c r="A719" s="306"/>
    </row>
    <row r="720" spans="1:1">
      <c r="A720" s="306"/>
    </row>
    <row r="721" spans="1:1">
      <c r="A721" s="306"/>
    </row>
    <row r="722" spans="1:1">
      <c r="A722" s="306"/>
    </row>
    <row r="723" spans="1:1">
      <c r="A723" s="306"/>
    </row>
    <row r="724" spans="1:1">
      <c r="A724" s="306"/>
    </row>
    <row r="725" spans="1:1">
      <c r="A725" s="306"/>
    </row>
    <row r="726" spans="1:1">
      <c r="A726" s="306"/>
    </row>
    <row r="727" spans="1:1">
      <c r="A727" s="306"/>
    </row>
    <row r="728" spans="1:1">
      <c r="A728" s="306"/>
    </row>
    <row r="729" spans="1:1">
      <c r="A729" s="306"/>
    </row>
    <row r="730" spans="1:1">
      <c r="A730" s="306"/>
    </row>
    <row r="731" spans="1:1">
      <c r="A731" s="306"/>
    </row>
    <row r="732" spans="1:1">
      <c r="A732" s="306"/>
    </row>
    <row r="733" spans="1:1">
      <c r="A733" s="306"/>
    </row>
    <row r="734" spans="1:1">
      <c r="A734" s="306"/>
    </row>
    <row r="735" spans="1:1">
      <c r="A735" s="306"/>
    </row>
    <row r="736" spans="1:1">
      <c r="A736" s="306"/>
    </row>
    <row r="737" spans="1:1">
      <c r="A737" s="306"/>
    </row>
    <row r="738" spans="1:1">
      <c r="A738" s="306"/>
    </row>
    <row r="739" spans="1:1">
      <c r="A739" s="306"/>
    </row>
    <row r="740" spans="1:1">
      <c r="A740" s="306"/>
    </row>
    <row r="741" spans="1:1">
      <c r="A741" s="306"/>
    </row>
    <row r="742" spans="1:1">
      <c r="A742" s="306"/>
    </row>
    <row r="743" spans="1:1">
      <c r="A743" s="306"/>
    </row>
    <row r="744" spans="1:1">
      <c r="A744" s="306"/>
    </row>
    <row r="745" spans="1:1">
      <c r="A745" s="306"/>
    </row>
    <row r="746" spans="1:1">
      <c r="A746" s="306"/>
    </row>
    <row r="747" spans="1:1">
      <c r="A747" s="306"/>
    </row>
    <row r="748" spans="1:1">
      <c r="A748" s="306"/>
    </row>
    <row r="749" spans="1:1">
      <c r="A749" s="306"/>
    </row>
    <row r="750" spans="1:1">
      <c r="A750" s="306"/>
    </row>
    <row r="751" spans="1:1">
      <c r="A751" s="306"/>
    </row>
    <row r="752" spans="1:1">
      <c r="A752" s="306"/>
    </row>
    <row r="753" spans="1:1">
      <c r="A753" s="306"/>
    </row>
    <row r="754" spans="1:1">
      <c r="A754" s="306"/>
    </row>
    <row r="755" spans="1:1">
      <c r="A755" s="306"/>
    </row>
    <row r="756" spans="1:1">
      <c r="A756" s="306"/>
    </row>
    <row r="757" spans="1:1">
      <c r="A757" s="306"/>
    </row>
    <row r="758" spans="1:1">
      <c r="A758" s="306"/>
    </row>
    <row r="759" spans="1:1">
      <c r="A759" s="306"/>
    </row>
    <row r="760" spans="1:1">
      <c r="A760" s="306"/>
    </row>
    <row r="761" spans="1:1">
      <c r="A761" s="306"/>
    </row>
    <row r="762" spans="1:1">
      <c r="A762" s="306"/>
    </row>
    <row r="763" spans="1:1">
      <c r="A763" s="306"/>
    </row>
    <row r="764" spans="1:1">
      <c r="A764" s="306"/>
    </row>
    <row r="765" spans="1:1">
      <c r="A765" s="306"/>
    </row>
    <row r="766" spans="1:1">
      <c r="A766" s="306"/>
    </row>
    <row r="767" spans="1:1">
      <c r="A767" s="306"/>
    </row>
    <row r="768" spans="1:1">
      <c r="A768" s="306"/>
    </row>
    <row r="769" spans="1:1">
      <c r="A769" s="306"/>
    </row>
    <row r="770" spans="1:1">
      <c r="A770" s="306"/>
    </row>
    <row r="771" spans="1:1">
      <c r="A771" s="306"/>
    </row>
    <row r="772" spans="1:1">
      <c r="A772" s="306"/>
    </row>
    <row r="773" spans="1:1">
      <c r="A773" s="306"/>
    </row>
    <row r="774" spans="1:1">
      <c r="A774" s="306"/>
    </row>
    <row r="775" spans="1:1">
      <c r="A775" s="306"/>
    </row>
    <row r="776" spans="1:1">
      <c r="A776" s="306"/>
    </row>
    <row r="777" spans="1:1">
      <c r="A777" s="306"/>
    </row>
    <row r="778" spans="1:1">
      <c r="A778" s="306"/>
    </row>
    <row r="779" spans="1:1">
      <c r="A779" s="306"/>
    </row>
    <row r="780" spans="1:1">
      <c r="A780" s="306"/>
    </row>
    <row r="781" spans="1:1">
      <c r="A781" s="306"/>
    </row>
    <row r="782" spans="1:1">
      <c r="A782" s="306"/>
    </row>
    <row r="783" spans="1:1">
      <c r="A783" s="306"/>
    </row>
    <row r="784" spans="1:1">
      <c r="A784" s="306"/>
    </row>
    <row r="785" spans="1:1">
      <c r="A785" s="306"/>
    </row>
    <row r="786" spans="1:1">
      <c r="A786" s="306"/>
    </row>
    <row r="787" spans="1:1">
      <c r="A787" s="306"/>
    </row>
    <row r="788" spans="1:1">
      <c r="A788" s="306"/>
    </row>
    <row r="789" spans="1:1">
      <c r="A789" s="306"/>
    </row>
    <row r="790" spans="1:1">
      <c r="A790" s="306"/>
    </row>
    <row r="791" spans="1:1">
      <c r="A791" s="306"/>
    </row>
    <row r="792" spans="1:1">
      <c r="A792" s="306"/>
    </row>
    <row r="793" spans="1:1">
      <c r="A793" s="306"/>
    </row>
    <row r="794" spans="1:1">
      <c r="A794" s="306"/>
    </row>
    <row r="795" spans="1:1">
      <c r="A795" s="306"/>
    </row>
    <row r="796" spans="1:1">
      <c r="A796" s="306"/>
    </row>
    <row r="797" spans="1:1">
      <c r="A797" s="306"/>
    </row>
    <row r="798" spans="1:1">
      <c r="A798" s="306"/>
    </row>
    <row r="799" spans="1:1">
      <c r="A799" s="306"/>
    </row>
    <row r="800" spans="1:1">
      <c r="A800" s="306"/>
    </row>
    <row r="801" spans="1:1">
      <c r="A801" s="306"/>
    </row>
    <row r="802" spans="1:1">
      <c r="A802" s="306"/>
    </row>
    <row r="803" spans="1:1">
      <c r="A803" s="306"/>
    </row>
    <row r="804" spans="1:1">
      <c r="A804" s="306"/>
    </row>
    <row r="805" spans="1:1">
      <c r="A805" s="306"/>
    </row>
    <row r="806" spans="1:1">
      <c r="A806" s="306"/>
    </row>
    <row r="807" spans="1:1">
      <c r="A807" s="306"/>
    </row>
    <row r="808" spans="1:1">
      <c r="A808" s="306"/>
    </row>
    <row r="809" spans="1:1">
      <c r="A809" s="306"/>
    </row>
    <row r="810" spans="1:1">
      <c r="A810" s="306"/>
    </row>
    <row r="811" spans="1:1">
      <c r="A811" s="306"/>
    </row>
    <row r="812" spans="1:1">
      <c r="A812" s="306"/>
    </row>
    <row r="813" spans="1:1">
      <c r="A813" s="306"/>
    </row>
    <row r="814" spans="1:1">
      <c r="A814" s="306"/>
    </row>
    <row r="815" spans="1:1">
      <c r="A815" s="306"/>
    </row>
    <row r="816" spans="1:1">
      <c r="A816" s="306"/>
    </row>
    <row r="817" spans="1:1">
      <c r="A817" s="306"/>
    </row>
    <row r="818" spans="1:1">
      <c r="A818" s="306"/>
    </row>
    <row r="819" spans="1:1">
      <c r="A819" s="306"/>
    </row>
    <row r="820" spans="1:1">
      <c r="A820" s="306"/>
    </row>
    <row r="821" spans="1:1">
      <c r="A821" s="306"/>
    </row>
    <row r="822" spans="1:1">
      <c r="A822" s="306"/>
    </row>
    <row r="823" spans="1:1">
      <c r="A823" s="306"/>
    </row>
    <row r="824" spans="1:1">
      <c r="A824" s="306"/>
    </row>
    <row r="825" spans="1:1">
      <c r="A825" s="306"/>
    </row>
    <row r="826" spans="1:1">
      <c r="A826" s="306"/>
    </row>
    <row r="827" spans="1:1">
      <c r="A827" s="306"/>
    </row>
    <row r="828" spans="1:1">
      <c r="A828" s="306"/>
    </row>
    <row r="829" spans="1:1">
      <c r="A829" s="306"/>
    </row>
    <row r="830" spans="1:1">
      <c r="A830" s="306"/>
    </row>
    <row r="831" spans="1:1">
      <c r="A831" s="306"/>
    </row>
    <row r="832" spans="1:1">
      <c r="A832" s="306"/>
    </row>
    <row r="833" spans="1:1">
      <c r="A833" s="306"/>
    </row>
    <row r="834" spans="1:1">
      <c r="A834" s="306"/>
    </row>
    <row r="835" spans="1:1">
      <c r="A835" s="306"/>
    </row>
    <row r="836" spans="1:1">
      <c r="A836" s="306"/>
    </row>
    <row r="837" spans="1:1">
      <c r="A837" s="306"/>
    </row>
    <row r="838" spans="1:1">
      <c r="A838" s="306"/>
    </row>
    <row r="839" spans="1:1">
      <c r="A839" s="306"/>
    </row>
    <row r="840" spans="1:1">
      <c r="A840" s="306"/>
    </row>
    <row r="841" spans="1:1">
      <c r="A841" s="306"/>
    </row>
    <row r="842" spans="1:1">
      <c r="A842" s="306"/>
    </row>
    <row r="843" spans="1:1">
      <c r="A843" s="306"/>
    </row>
    <row r="844" spans="1:1">
      <c r="A844" s="306"/>
    </row>
    <row r="845" spans="1:1">
      <c r="A845" s="306"/>
    </row>
    <row r="846" spans="1:1">
      <c r="A846" s="306"/>
    </row>
    <row r="847" spans="1:1">
      <c r="A847" s="306"/>
    </row>
    <row r="848" spans="1:1">
      <c r="A848" s="306"/>
    </row>
    <row r="849" spans="1:1">
      <c r="A849" s="306"/>
    </row>
    <row r="850" spans="1:1">
      <c r="A850" s="306"/>
    </row>
    <row r="851" spans="1:1">
      <c r="A851" s="306"/>
    </row>
    <row r="852" spans="1:1">
      <c r="A852" s="306"/>
    </row>
    <row r="853" spans="1:1">
      <c r="A853" s="306"/>
    </row>
    <row r="854" spans="1:1">
      <c r="A854" s="306"/>
    </row>
    <row r="855" spans="1:1">
      <c r="A855" s="306"/>
    </row>
    <row r="856" spans="1:1">
      <c r="A856" s="306"/>
    </row>
    <row r="857" spans="1:1">
      <c r="A857" s="306"/>
    </row>
    <row r="858" spans="1:1">
      <c r="A858" s="306"/>
    </row>
    <row r="859" spans="1:1">
      <c r="A859" s="306"/>
    </row>
    <row r="860" spans="1:1">
      <c r="A860" s="306"/>
    </row>
    <row r="861" spans="1:1">
      <c r="A861" s="306"/>
    </row>
    <row r="862" spans="1:1">
      <c r="A862" s="306"/>
    </row>
    <row r="863" spans="1:1">
      <c r="A863" s="306"/>
    </row>
    <row r="864" spans="1:1">
      <c r="A864" s="306"/>
    </row>
    <row r="865" spans="1:1">
      <c r="A865" s="306"/>
    </row>
    <row r="866" spans="1:1">
      <c r="A866" s="306"/>
    </row>
    <row r="867" spans="1:1">
      <c r="A867" s="306"/>
    </row>
    <row r="868" spans="1:1">
      <c r="A868" s="306"/>
    </row>
    <row r="869" spans="1:1">
      <c r="A869" s="306"/>
    </row>
    <row r="870" spans="1:1">
      <c r="A870" s="306"/>
    </row>
    <row r="871" spans="1:1">
      <c r="A871" s="306"/>
    </row>
    <row r="872" spans="1:1">
      <c r="A872" s="306"/>
    </row>
    <row r="873" spans="1:1">
      <c r="A873" s="306"/>
    </row>
    <row r="874" spans="1:1">
      <c r="A874" s="306"/>
    </row>
    <row r="875" spans="1:1">
      <c r="A875" s="306"/>
    </row>
    <row r="876" spans="1:1">
      <c r="A876" s="306"/>
    </row>
    <row r="877" spans="1:1">
      <c r="A877" s="306"/>
    </row>
    <row r="878" spans="1:1">
      <c r="A878" s="306"/>
    </row>
    <row r="879" spans="1:1">
      <c r="A879" s="306"/>
    </row>
    <row r="880" spans="1:1">
      <c r="A880" s="306"/>
    </row>
    <row r="881" spans="1:1">
      <c r="A881" s="306"/>
    </row>
    <row r="882" spans="1:1">
      <c r="A882" s="306"/>
    </row>
    <row r="883" spans="1:1">
      <c r="A883" s="306"/>
    </row>
    <row r="884" spans="1:1">
      <c r="A884" s="306"/>
    </row>
    <row r="885" spans="1:1">
      <c r="A885" s="306"/>
    </row>
    <row r="886" spans="1:1">
      <c r="A886" s="306"/>
    </row>
    <row r="887" spans="1:1">
      <c r="A887" s="306"/>
    </row>
    <row r="888" spans="1:1">
      <c r="A888" s="306"/>
    </row>
    <row r="889" spans="1:1">
      <c r="A889" s="306"/>
    </row>
    <row r="890" spans="1:1">
      <c r="A890" s="306"/>
    </row>
    <row r="891" spans="1:1">
      <c r="A891" s="306"/>
    </row>
    <row r="892" spans="1:1">
      <c r="A892" s="306"/>
    </row>
    <row r="893" spans="1:1">
      <c r="A893" s="306"/>
    </row>
    <row r="894" spans="1:1">
      <c r="A894" s="306"/>
    </row>
    <row r="895" spans="1:1">
      <c r="A895" s="306"/>
    </row>
    <row r="896" spans="1:1">
      <c r="A896" s="306"/>
    </row>
    <row r="897" spans="1:1">
      <c r="A897" s="306"/>
    </row>
    <row r="898" spans="1:1">
      <c r="A898" s="306"/>
    </row>
    <row r="899" spans="1:1">
      <c r="A899" s="306"/>
    </row>
    <row r="900" spans="1:1">
      <c r="A900" s="306"/>
    </row>
    <row r="901" spans="1:1">
      <c r="A901" s="306"/>
    </row>
    <row r="902" spans="1:1">
      <c r="A902" s="306"/>
    </row>
    <row r="903" spans="1:1">
      <c r="A903" s="306"/>
    </row>
    <row r="904" spans="1:1">
      <c r="A904" s="306"/>
    </row>
    <row r="905" spans="1:1">
      <c r="A905" s="306"/>
    </row>
    <row r="906" spans="1:1">
      <c r="A906" s="306"/>
    </row>
    <row r="907" spans="1:1">
      <c r="A907" s="306"/>
    </row>
    <row r="908" spans="1:1">
      <c r="A908" s="306"/>
    </row>
    <row r="909" spans="1:1">
      <c r="A909" s="306"/>
    </row>
    <row r="910" spans="1:1">
      <c r="A910" s="306"/>
    </row>
    <row r="911" spans="1:1">
      <c r="A911" s="306"/>
    </row>
    <row r="912" spans="1:1">
      <c r="A912" s="306"/>
    </row>
    <row r="913" spans="1:1">
      <c r="A913" s="306"/>
    </row>
    <row r="914" spans="1:1">
      <c r="A914" s="306"/>
    </row>
    <row r="915" spans="1:1">
      <c r="A915" s="306"/>
    </row>
    <row r="916" spans="1:1">
      <c r="A916" s="306"/>
    </row>
    <row r="917" spans="1:1">
      <c r="A917" s="306"/>
    </row>
    <row r="918" spans="1:1">
      <c r="A918" s="306"/>
    </row>
    <row r="919" spans="1:1">
      <c r="A919" s="306"/>
    </row>
    <row r="920" spans="1:1">
      <c r="A920" s="306"/>
    </row>
    <row r="921" spans="1:1">
      <c r="A921" s="306"/>
    </row>
    <row r="922" spans="1:1">
      <c r="A922" s="306"/>
    </row>
    <row r="923" spans="1:1">
      <c r="A923" s="306"/>
    </row>
    <row r="924" spans="1:1">
      <c r="A924" s="306"/>
    </row>
    <row r="925" spans="1:1">
      <c r="A925" s="306"/>
    </row>
    <row r="926" spans="1:1">
      <c r="A926" s="306"/>
    </row>
    <row r="927" spans="1:1">
      <c r="A927" s="306"/>
    </row>
    <row r="928" spans="1:1">
      <c r="A928" s="306"/>
    </row>
    <row r="929" spans="1:1">
      <c r="A929" s="306"/>
    </row>
    <row r="930" spans="1:1">
      <c r="A930" s="306"/>
    </row>
    <row r="931" spans="1:1">
      <c r="A931" s="306"/>
    </row>
    <row r="932" spans="1:1">
      <c r="A932" s="306"/>
    </row>
    <row r="933" spans="1:1">
      <c r="A933" s="306"/>
    </row>
    <row r="934" spans="1:1">
      <c r="A934" s="306"/>
    </row>
    <row r="935" spans="1:1">
      <c r="A935" s="306"/>
    </row>
    <row r="936" spans="1:1">
      <c r="A936" s="306"/>
    </row>
    <row r="937" spans="1:1">
      <c r="A937" s="306"/>
    </row>
    <row r="938" spans="1:1">
      <c r="A938" s="306"/>
    </row>
    <row r="939" spans="1:1">
      <c r="A939" s="306"/>
    </row>
    <row r="940" spans="1:1">
      <c r="A940" s="306"/>
    </row>
    <row r="941" spans="1:1">
      <c r="A941" s="306"/>
    </row>
    <row r="942" spans="1:1">
      <c r="A942" s="306"/>
    </row>
    <row r="943" spans="1:1">
      <c r="A943" s="306"/>
    </row>
    <row r="944" spans="1:1">
      <c r="A944" s="306"/>
    </row>
    <row r="945" spans="1:1">
      <c r="A945" s="306"/>
    </row>
    <row r="946" spans="1:1">
      <c r="A946" s="306"/>
    </row>
    <row r="947" spans="1:1">
      <c r="A947" s="306"/>
    </row>
    <row r="948" spans="1:1">
      <c r="A948" s="306"/>
    </row>
    <row r="949" spans="1:1">
      <c r="A949" s="306"/>
    </row>
    <row r="950" spans="1:1">
      <c r="A950" s="306"/>
    </row>
    <row r="951" spans="1:1">
      <c r="A951" s="306"/>
    </row>
    <row r="952" spans="1:1">
      <c r="A952" s="306"/>
    </row>
    <row r="953" spans="1:1">
      <c r="A953" s="306"/>
    </row>
    <row r="954" spans="1:1">
      <c r="A954" s="306"/>
    </row>
    <row r="955" spans="1:1">
      <c r="A955" s="306"/>
    </row>
    <row r="956" spans="1:1">
      <c r="A956" s="306"/>
    </row>
    <row r="957" spans="1:1">
      <c r="A957" s="306"/>
    </row>
    <row r="958" spans="1:1">
      <c r="A958" s="306"/>
    </row>
    <row r="959" spans="1:1">
      <c r="A959" s="306"/>
    </row>
    <row r="960" spans="1:1">
      <c r="A960" s="306"/>
    </row>
    <row r="961" spans="1:1">
      <c r="A961" s="306"/>
    </row>
    <row r="962" spans="1:1">
      <c r="A962" s="306"/>
    </row>
    <row r="963" spans="1:1">
      <c r="A963" s="306"/>
    </row>
    <row r="964" spans="1:1">
      <c r="A964" s="306"/>
    </row>
    <row r="965" spans="1:1">
      <c r="A965" s="306"/>
    </row>
    <row r="966" spans="1:1">
      <c r="A966" s="306"/>
    </row>
    <row r="967" spans="1:1">
      <c r="A967" s="306"/>
    </row>
    <row r="968" spans="1:1">
      <c r="A968" s="306"/>
    </row>
    <row r="969" spans="1:1">
      <c r="A969" s="306"/>
    </row>
    <row r="970" spans="1:1">
      <c r="A970" s="306"/>
    </row>
    <row r="971" spans="1:1">
      <c r="A971" s="306"/>
    </row>
    <row r="972" spans="1:1">
      <c r="A972" s="306"/>
    </row>
    <row r="973" spans="1:1">
      <c r="A973" s="306"/>
    </row>
    <row r="974" spans="1:1">
      <c r="A974" s="306"/>
    </row>
    <row r="975" spans="1:1">
      <c r="A975" s="306"/>
    </row>
    <row r="976" spans="1:1">
      <c r="A976" s="306"/>
    </row>
    <row r="977" spans="1:1">
      <c r="A977" s="306"/>
    </row>
    <row r="978" spans="1:1">
      <c r="A978" s="306"/>
    </row>
    <row r="979" spans="1:1">
      <c r="A979" s="306"/>
    </row>
    <row r="980" spans="1:1">
      <c r="A980" s="306"/>
    </row>
    <row r="981" spans="1:1">
      <c r="A981" s="306"/>
    </row>
    <row r="982" spans="1:1">
      <c r="A982" s="306"/>
    </row>
    <row r="983" spans="1:1">
      <c r="A983" s="306"/>
    </row>
    <row r="984" spans="1:1">
      <c r="A984" s="306"/>
    </row>
    <row r="985" spans="1:1">
      <c r="A985" s="306"/>
    </row>
    <row r="986" spans="1:1">
      <c r="A986" s="306"/>
    </row>
    <row r="987" spans="1:1">
      <c r="A987" s="306"/>
    </row>
    <row r="988" spans="1:1">
      <c r="A988" s="306"/>
    </row>
    <row r="989" spans="1:1">
      <c r="A989" s="306"/>
    </row>
    <row r="990" spans="1:1">
      <c r="A990" s="306"/>
    </row>
    <row r="991" spans="1:1">
      <c r="A991" s="306"/>
    </row>
    <row r="992" spans="1:1">
      <c r="A992" s="306"/>
    </row>
    <row r="993" spans="1:1">
      <c r="A993" s="306"/>
    </row>
    <row r="994" spans="1:1">
      <c r="A994" s="306"/>
    </row>
    <row r="995" spans="1:1">
      <c r="A995" s="306"/>
    </row>
    <row r="996" spans="1:1">
      <c r="A996" s="306"/>
    </row>
    <row r="997" spans="1:1">
      <c r="A997" s="306"/>
    </row>
    <row r="998" spans="1:1">
      <c r="A998" s="306"/>
    </row>
    <row r="999" spans="1:1">
      <c r="A999" s="306"/>
    </row>
    <row r="1000" spans="1:1">
      <c r="A1000" s="306"/>
    </row>
    <row r="1001" spans="1:1">
      <c r="A1001" s="306"/>
    </row>
    <row r="1002" spans="1:1">
      <c r="A1002" s="306"/>
    </row>
    <row r="1003" spans="1:1">
      <c r="A1003" s="306"/>
    </row>
    <row r="1004" spans="1:1">
      <c r="A1004" s="306"/>
    </row>
    <row r="1005" spans="1:1">
      <c r="A1005" s="306"/>
    </row>
    <row r="1006" spans="1:1">
      <c r="A1006" s="306"/>
    </row>
    <row r="1007" spans="1:1">
      <c r="A1007" s="306"/>
    </row>
    <row r="1008" spans="1:1">
      <c r="A1008" s="306"/>
    </row>
    <row r="1009" spans="1:1">
      <c r="A1009" s="306"/>
    </row>
    <row r="1010" spans="1:1">
      <c r="A1010" s="306"/>
    </row>
    <row r="1011" spans="1:1">
      <c r="A1011" s="306"/>
    </row>
    <row r="1012" spans="1:1">
      <c r="A1012" s="306"/>
    </row>
    <row r="1013" spans="1:1">
      <c r="A1013" s="306"/>
    </row>
    <row r="1014" spans="1:1">
      <c r="A1014" s="306"/>
    </row>
    <row r="1015" spans="1:1">
      <c r="A1015" s="306"/>
    </row>
    <row r="1016" spans="1:1">
      <c r="A1016" s="306"/>
    </row>
    <row r="1017" spans="1:1">
      <c r="A1017" s="306"/>
    </row>
    <row r="1018" spans="1:1">
      <c r="A1018" s="306"/>
    </row>
    <row r="1019" spans="1:1">
      <c r="A1019" s="306"/>
    </row>
    <row r="1020" spans="1:1">
      <c r="A1020" s="306"/>
    </row>
    <row r="1021" spans="1:1">
      <c r="A1021" s="306"/>
    </row>
    <row r="1022" spans="1:1">
      <c r="A1022" s="306"/>
    </row>
    <row r="1023" spans="1:1">
      <c r="A1023" s="306"/>
    </row>
    <row r="1024" spans="1:1">
      <c r="A1024" s="306"/>
    </row>
    <row r="1025" spans="1:1">
      <c r="A1025" s="306"/>
    </row>
    <row r="1026" spans="1:1">
      <c r="A1026" s="306"/>
    </row>
    <row r="1027" spans="1:1">
      <c r="A1027" s="306"/>
    </row>
    <row r="1028" spans="1:1">
      <c r="A1028" s="306"/>
    </row>
    <row r="1029" spans="1:1">
      <c r="A1029" s="306"/>
    </row>
    <row r="1030" spans="1:1">
      <c r="A1030" s="306"/>
    </row>
    <row r="1031" spans="1:1">
      <c r="A1031" s="306"/>
    </row>
    <row r="1032" spans="1:1">
      <c r="A1032" s="306"/>
    </row>
    <row r="1033" spans="1:1">
      <c r="A1033" s="306"/>
    </row>
    <row r="1034" spans="1:1">
      <c r="A1034" s="306"/>
    </row>
    <row r="1035" spans="1:1">
      <c r="A1035" s="306"/>
    </row>
    <row r="1036" spans="1:1">
      <c r="A1036" s="306"/>
    </row>
    <row r="1037" spans="1:1">
      <c r="A1037" s="306"/>
    </row>
    <row r="1038" spans="1:1">
      <c r="A1038" s="306"/>
    </row>
    <row r="1039" spans="1:1">
      <c r="A1039" s="306"/>
    </row>
    <row r="1040" spans="1:1">
      <c r="A1040" s="306"/>
    </row>
    <row r="1041" spans="1:1">
      <c r="A1041" s="306"/>
    </row>
    <row r="1042" spans="1:1">
      <c r="A1042" s="306"/>
    </row>
    <row r="1043" spans="1:1">
      <c r="A1043" s="306"/>
    </row>
    <row r="1044" spans="1:1">
      <c r="A1044" s="306"/>
    </row>
    <row r="1045" spans="1:1">
      <c r="A1045" s="306"/>
    </row>
    <row r="1046" spans="1:1">
      <c r="A1046" s="306"/>
    </row>
    <row r="1047" spans="1:1">
      <c r="A1047" s="306"/>
    </row>
    <row r="1048" spans="1:1">
      <c r="A1048" s="306"/>
    </row>
    <row r="1049" spans="1:1">
      <c r="A1049" s="306"/>
    </row>
    <row r="1050" spans="1:1">
      <c r="A1050" s="306"/>
    </row>
    <row r="1051" spans="1:1">
      <c r="A1051" s="306"/>
    </row>
    <row r="1052" spans="1:1">
      <c r="A1052" s="306"/>
    </row>
    <row r="1053" spans="1:1">
      <c r="A1053" s="306"/>
    </row>
    <row r="1054" spans="1:1">
      <c r="A1054" s="306"/>
    </row>
    <row r="1055" spans="1:1">
      <c r="A1055" s="306"/>
    </row>
    <row r="1056" spans="1:1">
      <c r="A1056" s="306"/>
    </row>
    <row r="1057" spans="1:1">
      <c r="A1057" s="306"/>
    </row>
    <row r="1058" spans="1:1">
      <c r="A1058" s="306"/>
    </row>
    <row r="1059" spans="1:1">
      <c r="A1059" s="306"/>
    </row>
    <row r="1060" spans="1:1">
      <c r="A1060" s="306"/>
    </row>
    <row r="1061" spans="1:1">
      <c r="A1061" s="306"/>
    </row>
    <row r="1062" spans="1:1">
      <c r="A1062" s="306"/>
    </row>
    <row r="1063" spans="1:1">
      <c r="A1063" s="306"/>
    </row>
    <row r="1064" spans="1:1">
      <c r="A1064" s="306"/>
    </row>
    <row r="1065" spans="1:1">
      <c r="A1065" s="306"/>
    </row>
    <row r="1066" spans="1:1">
      <c r="A1066" s="306"/>
    </row>
    <row r="1067" spans="1:1">
      <c r="A1067" s="306"/>
    </row>
    <row r="1068" spans="1:1">
      <c r="A1068" s="306"/>
    </row>
    <row r="1069" spans="1:1">
      <c r="A1069" s="306"/>
    </row>
    <row r="1070" spans="1:1">
      <c r="A1070" s="306"/>
    </row>
    <row r="1071" spans="1:1">
      <c r="A1071" s="306"/>
    </row>
    <row r="1072" spans="1:1">
      <c r="A1072" s="306"/>
    </row>
    <row r="1073" spans="1:1">
      <c r="A1073" s="306"/>
    </row>
    <row r="1074" spans="1:1">
      <c r="A1074" s="306"/>
    </row>
    <row r="1075" spans="1:1">
      <c r="A1075" s="306"/>
    </row>
    <row r="1076" spans="1:1">
      <c r="A1076" s="306"/>
    </row>
    <row r="1077" spans="1:1">
      <c r="A1077" s="306"/>
    </row>
    <row r="1078" spans="1:1">
      <c r="A1078" s="306"/>
    </row>
    <row r="1079" spans="1:1">
      <c r="A1079" s="306"/>
    </row>
    <row r="1080" spans="1:1">
      <c r="A1080" s="306"/>
    </row>
    <row r="1081" spans="1:1">
      <c r="A1081" s="306"/>
    </row>
    <row r="1082" spans="1:1">
      <c r="A1082" s="306"/>
    </row>
    <row r="1083" spans="1:1">
      <c r="A1083" s="306"/>
    </row>
    <row r="1084" spans="1:1">
      <c r="A1084" s="306"/>
    </row>
    <row r="1085" spans="1:1">
      <c r="A1085" s="306"/>
    </row>
    <row r="1086" spans="1:1">
      <c r="A1086" s="306"/>
    </row>
    <row r="1087" spans="1:1">
      <c r="A1087" s="306"/>
    </row>
    <row r="1088" spans="1:1">
      <c r="A1088" s="306"/>
    </row>
    <row r="1089" spans="1:1">
      <c r="A1089" s="306"/>
    </row>
    <row r="1090" spans="1:1">
      <c r="A1090" s="306"/>
    </row>
    <row r="1091" spans="1:1">
      <c r="A1091" s="306"/>
    </row>
    <row r="1092" spans="1:1">
      <c r="A1092" s="306"/>
    </row>
    <row r="1093" spans="1:1">
      <c r="A1093" s="306"/>
    </row>
    <row r="1094" spans="1:1">
      <c r="A1094" s="306"/>
    </row>
    <row r="1095" spans="1:1">
      <c r="A1095" s="306"/>
    </row>
    <row r="1096" spans="1:1">
      <c r="A1096" s="306"/>
    </row>
    <row r="1097" spans="1:1">
      <c r="A1097" s="306"/>
    </row>
    <row r="1098" spans="1:1">
      <c r="A1098" s="306"/>
    </row>
    <row r="1099" spans="1:1">
      <c r="A1099" s="306"/>
    </row>
    <row r="1100" spans="1:1">
      <c r="A1100" s="306"/>
    </row>
    <row r="1101" spans="1:1">
      <c r="A1101" s="306"/>
    </row>
    <row r="1102" spans="1:1">
      <c r="A1102" s="306"/>
    </row>
    <row r="1103" spans="1:1">
      <c r="A1103" s="306"/>
    </row>
    <row r="1104" spans="1:1">
      <c r="A1104" s="306"/>
    </row>
    <row r="1105" spans="1:1">
      <c r="A1105" s="306"/>
    </row>
    <row r="1106" spans="1:1">
      <c r="A1106" s="306"/>
    </row>
    <row r="1107" spans="1:1">
      <c r="A1107" s="306"/>
    </row>
    <row r="1108" spans="1:1">
      <c r="A1108" s="306"/>
    </row>
    <row r="1109" spans="1:1">
      <c r="A1109" s="306"/>
    </row>
    <row r="1110" spans="1:1">
      <c r="A1110" s="306"/>
    </row>
    <row r="1111" spans="1:1">
      <c r="A1111" s="306"/>
    </row>
    <row r="1112" spans="1:1">
      <c r="A1112" s="306"/>
    </row>
    <row r="1113" spans="1:1">
      <c r="A1113" s="306"/>
    </row>
    <row r="1114" spans="1:1">
      <c r="A1114" s="306"/>
    </row>
    <row r="1115" spans="1:1">
      <c r="A1115" s="306"/>
    </row>
    <row r="1116" spans="1:1">
      <c r="A1116" s="306"/>
    </row>
    <row r="1117" spans="1:1">
      <c r="A1117" s="306"/>
    </row>
    <row r="1118" spans="1:1">
      <c r="A1118" s="306"/>
    </row>
    <row r="1119" spans="1:1">
      <c r="A1119" s="306"/>
    </row>
    <row r="1120" spans="1:1">
      <c r="A1120" s="306"/>
    </row>
    <row r="1121" spans="1:1">
      <c r="A1121" s="306"/>
    </row>
    <row r="1122" spans="1:1">
      <c r="A1122" s="306"/>
    </row>
    <row r="1123" spans="1:1">
      <c r="A1123" s="306"/>
    </row>
    <row r="1124" spans="1:1">
      <c r="A1124" s="306"/>
    </row>
    <row r="1125" spans="1:1">
      <c r="A1125" s="306"/>
    </row>
    <row r="1126" spans="1:1">
      <c r="A1126" s="306"/>
    </row>
    <row r="1127" spans="1:1">
      <c r="A1127" s="306"/>
    </row>
    <row r="1128" spans="1:1">
      <c r="A1128" s="306"/>
    </row>
    <row r="1129" spans="1:1">
      <c r="A1129" s="306"/>
    </row>
    <row r="1130" spans="1:1">
      <c r="A1130" s="306"/>
    </row>
    <row r="1131" spans="1:1">
      <c r="A1131" s="306"/>
    </row>
    <row r="1132" spans="1:1">
      <c r="A1132" s="306"/>
    </row>
    <row r="1133" spans="1:1">
      <c r="A1133" s="306"/>
    </row>
    <row r="1134" spans="1:1">
      <c r="A1134" s="306"/>
    </row>
    <row r="1135" spans="1:1">
      <c r="A1135" s="306"/>
    </row>
    <row r="1136" spans="1:1">
      <c r="A1136" s="306"/>
    </row>
    <row r="1137" spans="1:1">
      <c r="A1137" s="306"/>
    </row>
    <row r="1138" spans="1:1">
      <c r="A1138" s="306"/>
    </row>
    <row r="1139" spans="1:1">
      <c r="A1139" s="306"/>
    </row>
    <row r="1140" spans="1:1">
      <c r="A1140" s="306"/>
    </row>
    <row r="1141" spans="1:1">
      <c r="A1141" s="306"/>
    </row>
    <row r="1142" spans="1:1">
      <c r="A1142" s="306"/>
    </row>
    <row r="1143" spans="1:1">
      <c r="A1143" s="306"/>
    </row>
    <row r="1144" spans="1:1">
      <c r="A1144" s="306"/>
    </row>
    <row r="1145" spans="1:1">
      <c r="A1145" s="306"/>
    </row>
    <row r="1146" spans="1:1">
      <c r="A1146" s="306"/>
    </row>
    <row r="1147" spans="1:1">
      <c r="A1147" s="306"/>
    </row>
    <row r="1148" spans="1:1">
      <c r="A1148" s="306"/>
    </row>
    <row r="1149" spans="1:1">
      <c r="A1149" s="306"/>
    </row>
    <row r="1150" spans="1:1">
      <c r="A1150" s="306"/>
    </row>
    <row r="1151" spans="1:1">
      <c r="A1151" s="306"/>
    </row>
    <row r="1152" spans="1:1">
      <c r="A1152" s="306"/>
    </row>
    <row r="1153" spans="1:1">
      <c r="A1153" s="306"/>
    </row>
    <row r="1154" spans="1:1">
      <c r="A1154" s="306"/>
    </row>
    <row r="1155" spans="1:1">
      <c r="A1155" s="306"/>
    </row>
    <row r="1156" spans="1:1">
      <c r="A1156" s="306"/>
    </row>
    <row r="1157" spans="1:1">
      <c r="A1157" s="306"/>
    </row>
    <row r="1158" spans="1:1">
      <c r="A1158" s="306"/>
    </row>
    <row r="1159" spans="1:1">
      <c r="A1159" s="306"/>
    </row>
    <row r="1160" spans="1:1">
      <c r="A1160" s="306"/>
    </row>
    <row r="1161" spans="1:1">
      <c r="A1161" s="306"/>
    </row>
    <row r="1162" spans="1:1">
      <c r="A1162" s="306"/>
    </row>
    <row r="1163" spans="1:1">
      <c r="A1163" s="306"/>
    </row>
    <row r="1164" spans="1:1">
      <c r="A1164" s="306"/>
    </row>
    <row r="1165" spans="1:1">
      <c r="A1165" s="306"/>
    </row>
    <row r="1166" spans="1:1">
      <c r="A1166" s="306"/>
    </row>
    <row r="1167" spans="1:1">
      <c r="A1167" s="306"/>
    </row>
    <row r="1168" spans="1:1">
      <c r="A1168" s="306"/>
    </row>
    <row r="1169" spans="1:1">
      <c r="A1169" s="306"/>
    </row>
    <row r="1170" spans="1:1">
      <c r="A1170" s="306"/>
    </row>
    <row r="1171" spans="1:1">
      <c r="A1171" s="306"/>
    </row>
    <row r="1172" spans="1:1">
      <c r="A1172" s="306"/>
    </row>
    <row r="1173" spans="1:1">
      <c r="A1173" s="306"/>
    </row>
    <row r="1174" spans="1:1">
      <c r="A1174" s="306"/>
    </row>
    <row r="1175" spans="1:1">
      <c r="A1175" s="306"/>
    </row>
    <row r="1176" spans="1:1">
      <c r="A1176" s="306"/>
    </row>
    <row r="1177" spans="1:1">
      <c r="A1177" s="306"/>
    </row>
    <row r="1178" spans="1:1">
      <c r="A1178" s="306"/>
    </row>
    <row r="1179" spans="1:1">
      <c r="A1179" s="306"/>
    </row>
    <row r="1180" spans="1:1">
      <c r="A1180" s="306"/>
    </row>
    <row r="1181" spans="1:1">
      <c r="A1181" s="306"/>
    </row>
    <row r="1182" spans="1:1">
      <c r="A1182" s="306"/>
    </row>
    <row r="1183" spans="1:1">
      <c r="A1183" s="306"/>
    </row>
    <row r="1184" spans="1:1">
      <c r="A1184" s="306"/>
    </row>
    <row r="1185" spans="1:1">
      <c r="A1185" s="306"/>
    </row>
    <row r="1186" spans="1:1">
      <c r="A1186" s="306"/>
    </row>
    <row r="1187" spans="1:1">
      <c r="A1187" s="306"/>
    </row>
    <row r="1188" spans="1:1">
      <c r="A1188" s="306"/>
    </row>
    <row r="1189" spans="1:1">
      <c r="A1189" s="306"/>
    </row>
    <row r="1190" spans="1:1">
      <c r="A1190" s="306"/>
    </row>
    <row r="1191" spans="1:1">
      <c r="A1191" s="306"/>
    </row>
    <row r="1192" spans="1:1">
      <c r="A1192" s="306"/>
    </row>
    <row r="1193" spans="1:1">
      <c r="A1193" s="306"/>
    </row>
    <row r="1194" spans="1:1">
      <c r="A1194" s="306"/>
    </row>
    <row r="1195" spans="1:1">
      <c r="A1195" s="306"/>
    </row>
    <row r="1196" spans="1:1">
      <c r="A1196" s="306"/>
    </row>
    <row r="1197" spans="1:1">
      <c r="A1197" s="306"/>
    </row>
    <row r="1198" spans="1:1">
      <c r="A1198" s="306"/>
    </row>
    <row r="1199" spans="1:1">
      <c r="A1199" s="306"/>
    </row>
    <row r="1200" spans="1:1">
      <c r="A1200" s="306"/>
    </row>
    <row r="1201" spans="1:1">
      <c r="A1201" s="306"/>
    </row>
    <row r="1202" spans="1:1">
      <c r="A1202" s="306"/>
    </row>
    <row r="1203" spans="1:1">
      <c r="A1203" s="306"/>
    </row>
    <row r="1204" spans="1:1">
      <c r="A1204" s="306"/>
    </row>
    <row r="1205" spans="1:1">
      <c r="A1205" s="306"/>
    </row>
    <row r="1206" spans="1:1">
      <c r="A1206" s="306"/>
    </row>
    <row r="1207" spans="1:1">
      <c r="A1207" s="306"/>
    </row>
    <row r="1208" spans="1:1">
      <c r="A1208" s="306"/>
    </row>
    <row r="1209" spans="1:1">
      <c r="A1209" s="306"/>
    </row>
    <row r="1210" spans="1:1">
      <c r="A1210" s="306"/>
    </row>
    <row r="1211" spans="1:1">
      <c r="A1211" s="306"/>
    </row>
    <row r="1212" spans="1:1">
      <c r="A1212" s="306"/>
    </row>
    <row r="1213" spans="1:1">
      <c r="A1213" s="306"/>
    </row>
    <row r="1214" spans="1:1">
      <c r="A1214" s="306"/>
    </row>
    <row r="1215" spans="1:1">
      <c r="A1215" s="306"/>
    </row>
    <row r="1216" spans="1:1">
      <c r="A1216" s="306"/>
    </row>
    <row r="1217" spans="1:1">
      <c r="A1217" s="306"/>
    </row>
    <row r="1218" spans="1:1">
      <c r="A1218" s="306"/>
    </row>
    <row r="1219" spans="1:1">
      <c r="A1219" s="306"/>
    </row>
    <row r="1220" spans="1:1">
      <c r="A1220" s="306"/>
    </row>
    <row r="1221" spans="1:1">
      <c r="A1221" s="306"/>
    </row>
    <row r="1222" spans="1:1">
      <c r="A1222" s="306"/>
    </row>
    <row r="1223" spans="1:1">
      <c r="A1223" s="306"/>
    </row>
    <row r="1224" spans="1:1">
      <c r="A1224" s="306"/>
    </row>
    <row r="1225" spans="1:1">
      <c r="A1225" s="306"/>
    </row>
    <row r="1226" spans="1:1">
      <c r="A1226" s="306"/>
    </row>
    <row r="1227" spans="1:1">
      <c r="A1227" s="306"/>
    </row>
    <row r="1228" spans="1:1">
      <c r="A1228" s="306"/>
    </row>
    <row r="1229" spans="1:1">
      <c r="A1229" s="306"/>
    </row>
    <row r="1230" spans="1:1">
      <c r="A1230" s="306"/>
    </row>
    <row r="1231" spans="1:1">
      <c r="A1231" s="306"/>
    </row>
    <row r="1232" spans="1:1">
      <c r="A1232" s="306"/>
    </row>
    <row r="1233" spans="1:1">
      <c r="A1233" s="306"/>
    </row>
    <row r="1234" spans="1:1">
      <c r="A1234" s="306"/>
    </row>
    <row r="1235" spans="1:1">
      <c r="A1235" s="306"/>
    </row>
    <row r="1236" spans="1:1">
      <c r="A1236" s="306"/>
    </row>
    <row r="1237" spans="1:1">
      <c r="A1237" s="306"/>
    </row>
    <row r="1238" spans="1:1">
      <c r="A1238" s="306"/>
    </row>
    <row r="1239" spans="1:1">
      <c r="A1239" s="306"/>
    </row>
    <row r="1240" spans="1:1">
      <c r="A1240" s="306"/>
    </row>
    <row r="1241" spans="1:1">
      <c r="A1241" s="306"/>
    </row>
    <row r="1242" spans="1:1">
      <c r="A1242" s="306"/>
    </row>
    <row r="1243" spans="1:1">
      <c r="A1243" s="306"/>
    </row>
    <row r="1244" spans="1:1">
      <c r="A1244" s="306"/>
    </row>
    <row r="1245" spans="1:1">
      <c r="A1245" s="306"/>
    </row>
    <row r="1246" spans="1:1">
      <c r="A1246" s="306"/>
    </row>
    <row r="1247" spans="1:1">
      <c r="A1247" s="306"/>
    </row>
    <row r="1248" spans="1:1">
      <c r="A1248" s="306"/>
    </row>
    <row r="1249" spans="1:1">
      <c r="A1249" s="306"/>
    </row>
    <row r="1250" spans="1:1">
      <c r="A1250" s="306"/>
    </row>
    <row r="1251" spans="1:1">
      <c r="A1251" s="306"/>
    </row>
    <row r="1252" spans="1:1">
      <c r="A1252" s="306"/>
    </row>
    <row r="1253" spans="1:1">
      <c r="A1253" s="306"/>
    </row>
    <row r="1254" spans="1:1">
      <c r="A1254" s="306"/>
    </row>
    <row r="1255" spans="1:1">
      <c r="A1255" s="306"/>
    </row>
    <row r="1256" spans="1:1">
      <c r="A1256" s="306"/>
    </row>
    <row r="1257" spans="1:1">
      <c r="A1257" s="306"/>
    </row>
    <row r="1258" spans="1:1">
      <c r="A1258" s="306"/>
    </row>
    <row r="1259" spans="1:1">
      <c r="A1259" s="306"/>
    </row>
    <row r="1260" spans="1:1">
      <c r="A1260" s="306"/>
    </row>
    <row r="1261" spans="1:1">
      <c r="A1261" s="306"/>
    </row>
    <row r="1262" spans="1:1">
      <c r="A1262" s="306"/>
    </row>
    <row r="1263" spans="1:1">
      <c r="A1263" s="306"/>
    </row>
    <row r="1264" spans="1:1">
      <c r="A1264" s="306"/>
    </row>
    <row r="1265" spans="1:1">
      <c r="A1265" s="306"/>
    </row>
    <row r="1266" spans="1:1">
      <c r="A1266" s="306"/>
    </row>
    <row r="1267" spans="1:1">
      <c r="A1267" s="306"/>
    </row>
    <row r="1268" spans="1:1">
      <c r="A1268" s="306"/>
    </row>
    <row r="1269" spans="1:1">
      <c r="A1269" s="306"/>
    </row>
    <row r="1270" spans="1:1">
      <c r="A1270" s="306"/>
    </row>
    <row r="1271" spans="1:1">
      <c r="A1271" s="306"/>
    </row>
    <row r="1272" spans="1:1">
      <c r="A1272" s="306"/>
    </row>
    <row r="1273" spans="1:1">
      <c r="A1273" s="306"/>
    </row>
    <row r="1274" spans="1:1">
      <c r="A1274" s="306"/>
    </row>
    <row r="1275" spans="1:1">
      <c r="A1275" s="306"/>
    </row>
    <row r="1276" spans="1:1">
      <c r="A1276" s="306"/>
    </row>
    <row r="1277" spans="1:1">
      <c r="A1277" s="306"/>
    </row>
    <row r="1278" spans="1:1">
      <c r="A1278" s="306"/>
    </row>
    <row r="1279" spans="1:1">
      <c r="A1279" s="306"/>
    </row>
    <row r="1280" spans="1:1">
      <c r="A1280" s="306"/>
    </row>
    <row r="1281" spans="1:1">
      <c r="A1281" s="306"/>
    </row>
    <row r="1282" spans="1:1">
      <c r="A1282" s="306"/>
    </row>
    <row r="1283" spans="1:1">
      <c r="A1283" s="306"/>
    </row>
    <row r="1284" spans="1:1">
      <c r="A1284" s="306"/>
    </row>
    <row r="1285" spans="1:1">
      <c r="A1285" s="306"/>
    </row>
    <row r="1286" spans="1:1">
      <c r="A1286" s="306"/>
    </row>
    <row r="1287" spans="1:1">
      <c r="A1287" s="306"/>
    </row>
    <row r="1288" spans="1:1">
      <c r="A1288" s="306"/>
    </row>
    <row r="1289" spans="1:1">
      <c r="A1289" s="306"/>
    </row>
    <row r="1290" spans="1:1">
      <c r="A1290" s="306"/>
    </row>
    <row r="1291" spans="1:1">
      <c r="A1291" s="306"/>
    </row>
    <row r="1292" spans="1:1">
      <c r="A1292" s="306"/>
    </row>
    <row r="1293" spans="1:1">
      <c r="A1293" s="306"/>
    </row>
    <row r="1294" spans="1:1">
      <c r="A1294" s="306"/>
    </row>
    <row r="1295" spans="1:1">
      <c r="A1295" s="306"/>
    </row>
    <row r="1296" spans="1:1">
      <c r="A1296" s="306"/>
    </row>
    <row r="1297" spans="1:1">
      <c r="A1297" s="306"/>
    </row>
    <row r="1298" spans="1:1">
      <c r="A1298" s="306"/>
    </row>
    <row r="1299" spans="1:1">
      <c r="A1299" s="306"/>
    </row>
    <row r="1300" spans="1:1">
      <c r="A1300" s="306"/>
    </row>
    <row r="1301" spans="1:1">
      <c r="A1301" s="306"/>
    </row>
    <row r="1302" spans="1:1">
      <c r="A1302" s="306"/>
    </row>
    <row r="1303" spans="1:1">
      <c r="A1303" s="306"/>
    </row>
    <row r="1304" spans="1:1">
      <c r="A1304" s="306"/>
    </row>
    <row r="1305" spans="1:1">
      <c r="A1305" s="306"/>
    </row>
    <row r="1306" spans="1:1">
      <c r="A1306" s="306"/>
    </row>
    <row r="1307" spans="1:1">
      <c r="A1307" s="306"/>
    </row>
    <row r="1308" spans="1:1">
      <c r="A1308" s="306"/>
    </row>
    <row r="1309" spans="1:1">
      <c r="A1309" s="306"/>
    </row>
    <row r="1310" spans="1:1">
      <c r="A1310" s="306"/>
    </row>
    <row r="1311" spans="1:1">
      <c r="A1311" s="306"/>
    </row>
    <row r="1312" spans="1:1">
      <c r="A1312" s="306"/>
    </row>
    <row r="1313" spans="1:1">
      <c r="A1313" s="306"/>
    </row>
    <row r="1314" spans="1:1">
      <c r="A1314" s="306"/>
    </row>
    <row r="1315" spans="1:1">
      <c r="A1315" s="306"/>
    </row>
    <row r="1316" spans="1:1">
      <c r="A1316" s="306"/>
    </row>
    <row r="1317" spans="1:1">
      <c r="A1317" s="306"/>
    </row>
    <row r="1318" spans="1:1">
      <c r="A1318" s="306"/>
    </row>
    <row r="1319" spans="1:1">
      <c r="A1319" s="306"/>
    </row>
    <row r="1320" spans="1:1">
      <c r="A1320" s="306"/>
    </row>
    <row r="1321" spans="1:1">
      <c r="A1321" s="306"/>
    </row>
    <row r="1322" spans="1:1">
      <c r="A1322" s="306"/>
    </row>
    <row r="1323" spans="1:1">
      <c r="A1323" s="306"/>
    </row>
    <row r="1324" spans="1:1">
      <c r="A1324" s="306"/>
    </row>
    <row r="1325" spans="1:1">
      <c r="A1325" s="306"/>
    </row>
    <row r="1326" spans="1:1">
      <c r="A1326" s="306"/>
    </row>
    <row r="1327" spans="1:1">
      <c r="A1327" s="306"/>
    </row>
    <row r="1328" spans="1:1">
      <c r="A1328" s="306"/>
    </row>
    <row r="1329" spans="1:1">
      <c r="A1329" s="306"/>
    </row>
    <row r="1330" spans="1:1">
      <c r="A1330" s="306"/>
    </row>
    <row r="1331" spans="1:1">
      <c r="A1331" s="306"/>
    </row>
    <row r="1332" spans="1:1">
      <c r="A1332" s="306"/>
    </row>
    <row r="1333" spans="1:1">
      <c r="A1333" s="306"/>
    </row>
    <row r="1334" spans="1:1">
      <c r="A1334" s="306"/>
    </row>
    <row r="1335" spans="1:1">
      <c r="A1335" s="306"/>
    </row>
    <row r="1336" spans="1:1">
      <c r="A1336" s="306"/>
    </row>
    <row r="1337" spans="1:1">
      <c r="A1337" s="306"/>
    </row>
    <row r="1338" spans="1:1">
      <c r="A1338" s="306"/>
    </row>
    <row r="1339" spans="1:1">
      <c r="A1339" s="306"/>
    </row>
    <row r="1340" spans="1:1">
      <c r="A1340" s="306"/>
    </row>
    <row r="1341" spans="1:1">
      <c r="A1341" s="306"/>
    </row>
    <row r="1342" spans="1:1">
      <c r="A1342" s="306"/>
    </row>
    <row r="1343" spans="1:1">
      <c r="A1343" s="306"/>
    </row>
    <row r="1344" spans="1:1">
      <c r="A1344" s="306"/>
    </row>
    <row r="1345" spans="1:1">
      <c r="A1345" s="306"/>
    </row>
    <row r="1346" spans="1:1">
      <c r="A1346" s="306"/>
    </row>
    <row r="1347" spans="1:1">
      <c r="A1347" s="306"/>
    </row>
    <row r="1348" spans="1:1">
      <c r="A1348" s="306"/>
    </row>
    <row r="1349" spans="1:1">
      <c r="A1349" s="306"/>
    </row>
    <row r="1350" spans="1:1">
      <c r="A1350" s="306"/>
    </row>
    <row r="1351" spans="1:1">
      <c r="A1351" s="306"/>
    </row>
    <row r="1352" spans="1:1">
      <c r="A1352" s="306"/>
    </row>
    <row r="1353" spans="1:1">
      <c r="A1353" s="306"/>
    </row>
    <row r="1354" spans="1:1">
      <c r="A1354" s="306"/>
    </row>
    <row r="1355" spans="1:1">
      <c r="A1355" s="306"/>
    </row>
    <row r="1356" spans="1:1">
      <c r="A1356" s="306"/>
    </row>
    <row r="1357" spans="1:1">
      <c r="A1357" s="306"/>
    </row>
    <row r="1358" spans="1:1">
      <c r="A1358" s="306"/>
    </row>
    <row r="1359" spans="1:1">
      <c r="A1359" s="306"/>
    </row>
    <row r="1360" spans="1:1">
      <c r="A1360" s="306"/>
    </row>
    <row r="1361" spans="1:1">
      <c r="A1361" s="306"/>
    </row>
    <row r="1362" spans="1:1">
      <c r="A1362" s="306"/>
    </row>
    <row r="1363" spans="1:1">
      <c r="A1363" s="306"/>
    </row>
    <row r="1364" spans="1:1">
      <c r="A1364" s="306"/>
    </row>
    <row r="1365" spans="1:1">
      <c r="A1365" s="306"/>
    </row>
    <row r="1366" spans="1:1">
      <c r="A1366" s="306"/>
    </row>
    <row r="1367" spans="1:1">
      <c r="A1367" s="306"/>
    </row>
    <row r="1368" spans="1:1">
      <c r="A1368" s="306"/>
    </row>
    <row r="1369" spans="1:1">
      <c r="A1369" s="306"/>
    </row>
    <row r="1370" spans="1:1">
      <c r="A1370" s="306"/>
    </row>
    <row r="1371" spans="1:1">
      <c r="A1371" s="306"/>
    </row>
    <row r="1372" spans="1:1">
      <c r="A1372" s="306"/>
    </row>
    <row r="1373" spans="1:1">
      <c r="A1373" s="306"/>
    </row>
    <row r="1374" spans="1:1">
      <c r="A1374" s="306"/>
    </row>
    <row r="1375" spans="1:1">
      <c r="A1375" s="306"/>
    </row>
    <row r="1376" spans="1:1">
      <c r="A1376" s="306"/>
    </row>
    <row r="1377" spans="1:1">
      <c r="A1377" s="306"/>
    </row>
    <row r="1378" spans="1:1">
      <c r="A1378" s="306"/>
    </row>
    <row r="1379" spans="1:1">
      <c r="A1379" s="306"/>
    </row>
    <row r="1380" spans="1:1">
      <c r="A1380" s="306"/>
    </row>
    <row r="1381" spans="1:1">
      <c r="A1381" s="306"/>
    </row>
    <row r="1382" spans="1:1">
      <c r="A1382" s="306"/>
    </row>
    <row r="1383" spans="1:1">
      <c r="A1383" s="306"/>
    </row>
    <row r="1384" spans="1:1">
      <c r="A1384" s="306"/>
    </row>
    <row r="1385" spans="1:1">
      <c r="A1385" s="306"/>
    </row>
    <row r="1386" spans="1:1">
      <c r="A1386" s="306"/>
    </row>
    <row r="1387" spans="1:1">
      <c r="A1387" s="306"/>
    </row>
    <row r="1388" spans="1:1">
      <c r="A1388" s="306"/>
    </row>
    <row r="1389" spans="1:1">
      <c r="A1389" s="306"/>
    </row>
    <row r="1390" spans="1:1">
      <c r="A1390" s="306"/>
    </row>
    <row r="1391" spans="1:1">
      <c r="A1391" s="306"/>
    </row>
    <row r="1392" spans="1:1">
      <c r="A1392" s="306"/>
    </row>
    <row r="1393" spans="1:1">
      <c r="A1393" s="306"/>
    </row>
    <row r="1394" spans="1:1">
      <c r="A1394" s="306"/>
    </row>
    <row r="1395" spans="1:1">
      <c r="A1395" s="306"/>
    </row>
    <row r="1396" spans="1:1">
      <c r="A1396" s="306"/>
    </row>
    <row r="1397" spans="1:1">
      <c r="A1397" s="306"/>
    </row>
    <row r="1398" spans="1:1">
      <c r="A1398" s="306"/>
    </row>
    <row r="1399" spans="1:1">
      <c r="A1399" s="306"/>
    </row>
    <row r="1400" spans="1:1">
      <c r="A1400" s="306"/>
    </row>
    <row r="1401" spans="1:1">
      <c r="A1401" s="306"/>
    </row>
    <row r="1402" spans="1:1">
      <c r="A1402" s="306"/>
    </row>
    <row r="1403" spans="1:1">
      <c r="A1403" s="306"/>
    </row>
    <row r="1404" spans="1:1">
      <c r="A1404" s="306"/>
    </row>
    <row r="1405" spans="1:1">
      <c r="A1405" s="306"/>
    </row>
    <row r="1406" spans="1:1">
      <c r="A1406" s="306"/>
    </row>
    <row r="1407" spans="1:1">
      <c r="A1407" s="306"/>
    </row>
    <row r="1408" spans="1:1">
      <c r="A1408" s="306"/>
    </row>
    <row r="1409" spans="1:1">
      <c r="A1409" s="306"/>
    </row>
    <row r="1410" spans="1:1">
      <c r="A1410" s="306"/>
    </row>
    <row r="1411" spans="1:1">
      <c r="A1411" s="306"/>
    </row>
    <row r="1412" spans="1:1">
      <c r="A1412" s="306"/>
    </row>
    <row r="1413" spans="1:1">
      <c r="A1413" s="306"/>
    </row>
    <row r="1414" spans="1:1">
      <c r="A1414" s="306"/>
    </row>
    <row r="1415" spans="1:1">
      <c r="A1415" s="306"/>
    </row>
    <row r="1416" spans="1:1">
      <c r="A1416" s="306"/>
    </row>
    <row r="1417" spans="1:1">
      <c r="A1417" s="306"/>
    </row>
    <row r="1418" spans="1:1">
      <c r="A1418" s="306"/>
    </row>
    <row r="1419" spans="1:1">
      <c r="A1419" s="306"/>
    </row>
    <row r="1420" spans="1:1">
      <c r="A1420" s="306"/>
    </row>
    <row r="1421" spans="1:1">
      <c r="A1421" s="306"/>
    </row>
    <row r="1422" spans="1:1">
      <c r="A1422" s="306"/>
    </row>
    <row r="1423" spans="1:1">
      <c r="A1423" s="306"/>
    </row>
    <row r="1424" spans="1:1">
      <c r="A1424" s="306"/>
    </row>
    <row r="1425" spans="1:1">
      <c r="A1425" s="306"/>
    </row>
    <row r="1426" spans="1:1">
      <c r="A1426" s="306"/>
    </row>
    <row r="1427" spans="1:1">
      <c r="A1427" s="306"/>
    </row>
    <row r="1428" spans="1:1">
      <c r="A1428" s="306"/>
    </row>
    <row r="1429" spans="1:1">
      <c r="A1429" s="306"/>
    </row>
    <row r="1430" spans="1:1">
      <c r="A1430" s="306"/>
    </row>
    <row r="1431" spans="1:1">
      <c r="A1431" s="306"/>
    </row>
    <row r="1432" spans="1:1">
      <c r="A1432" s="306"/>
    </row>
    <row r="1433" spans="1:1">
      <c r="A1433" s="306"/>
    </row>
    <row r="1434" spans="1:1">
      <c r="A1434" s="306"/>
    </row>
    <row r="1435" spans="1:1">
      <c r="A1435" s="306"/>
    </row>
    <row r="1436" spans="1:1">
      <c r="A1436" s="306"/>
    </row>
    <row r="1437" spans="1:1">
      <c r="A1437" s="306"/>
    </row>
    <row r="1438" spans="1:1">
      <c r="A1438" s="306"/>
    </row>
    <row r="1439" spans="1:1">
      <c r="A1439" s="306"/>
    </row>
    <row r="1440" spans="1:1">
      <c r="A1440" s="306"/>
    </row>
    <row r="1441" spans="1:1">
      <c r="A1441" s="306"/>
    </row>
    <row r="1442" spans="1:1">
      <c r="A1442" s="306"/>
    </row>
    <row r="1443" spans="1:1">
      <c r="A1443" s="306"/>
    </row>
    <row r="1444" spans="1:1">
      <c r="A1444" s="306"/>
    </row>
    <row r="1445" spans="1:1">
      <c r="A1445" s="306"/>
    </row>
    <row r="1446" spans="1:1">
      <c r="A1446" s="306"/>
    </row>
    <row r="1447" spans="1:1">
      <c r="A1447" s="306"/>
    </row>
    <row r="1448" spans="1:1">
      <c r="A1448" s="306"/>
    </row>
    <row r="1449" spans="1:1">
      <c r="A1449" s="306"/>
    </row>
    <row r="1450" spans="1:1">
      <c r="A1450" s="306"/>
    </row>
    <row r="1451" spans="1:1">
      <c r="A1451" s="306"/>
    </row>
    <row r="1452" spans="1:1">
      <c r="A1452" s="306"/>
    </row>
    <row r="1453" spans="1:1">
      <c r="A1453" s="306"/>
    </row>
    <row r="1454" spans="1:1">
      <c r="A1454" s="306"/>
    </row>
    <row r="1455" spans="1:1">
      <c r="A1455" s="306"/>
    </row>
    <row r="1456" spans="1:1">
      <c r="A1456" s="306"/>
    </row>
    <row r="1457" spans="1:1">
      <c r="A1457" s="306"/>
    </row>
    <row r="1458" spans="1:1">
      <c r="A1458" s="306"/>
    </row>
    <row r="1459" spans="1:1">
      <c r="A1459" s="306"/>
    </row>
    <row r="1460" spans="1:1">
      <c r="A1460" s="306"/>
    </row>
    <row r="1461" spans="1:1">
      <c r="A1461" s="306"/>
    </row>
    <row r="1462" spans="1:1">
      <c r="A1462" s="306"/>
    </row>
    <row r="1463" spans="1:1">
      <c r="A1463" s="306"/>
    </row>
    <row r="1464" spans="1:1">
      <c r="A1464" s="306"/>
    </row>
    <row r="1465" spans="1:1">
      <c r="A1465" s="306"/>
    </row>
    <row r="1466" spans="1:1">
      <c r="A1466" s="306"/>
    </row>
    <row r="1467" spans="1:1">
      <c r="A1467" s="306"/>
    </row>
    <row r="1468" spans="1:1">
      <c r="A1468" s="306"/>
    </row>
    <row r="1469" spans="1:1">
      <c r="A1469" s="306"/>
    </row>
    <row r="1470" spans="1:1">
      <c r="A1470" s="306"/>
    </row>
    <row r="1471" spans="1:1">
      <c r="A1471" s="306"/>
    </row>
    <row r="1472" spans="1:1">
      <c r="A1472" s="306"/>
    </row>
    <row r="1473" spans="1:1">
      <c r="A1473" s="306"/>
    </row>
    <row r="1474" spans="1:1">
      <c r="A1474" s="306"/>
    </row>
    <row r="1475" spans="1:1">
      <c r="A1475" s="306"/>
    </row>
    <row r="1476" spans="1:1">
      <c r="A1476" s="306"/>
    </row>
    <row r="1477" spans="1:1">
      <c r="A1477" s="306"/>
    </row>
    <row r="1478" spans="1:1">
      <c r="A1478" s="306"/>
    </row>
    <row r="1479" spans="1:1">
      <c r="A1479" s="306"/>
    </row>
    <row r="1480" spans="1:1">
      <c r="A1480" s="306"/>
    </row>
    <row r="1481" spans="1:1">
      <c r="A1481" s="306"/>
    </row>
    <row r="1482" spans="1:1">
      <c r="A1482" s="306"/>
    </row>
    <row r="1483" spans="1:1">
      <c r="A1483" s="306"/>
    </row>
    <row r="1484" spans="1:1">
      <c r="A1484" s="306"/>
    </row>
    <row r="1485" spans="1:1">
      <c r="A1485" s="306"/>
    </row>
    <row r="1486" spans="1:1">
      <c r="A1486" s="306"/>
    </row>
    <row r="1487" spans="1:1">
      <c r="A1487" s="306"/>
    </row>
    <row r="1488" spans="1:1">
      <c r="A1488" s="306"/>
    </row>
    <row r="1489" spans="1:1">
      <c r="A1489" s="306"/>
    </row>
    <row r="1490" spans="1:1">
      <c r="A1490" s="306"/>
    </row>
    <row r="1491" spans="1:1">
      <c r="A1491" s="306"/>
    </row>
    <row r="1492" spans="1:1">
      <c r="A1492" s="306"/>
    </row>
    <row r="1493" spans="1:1">
      <c r="A1493" s="306"/>
    </row>
    <row r="1494" spans="1:1">
      <c r="A1494" s="306"/>
    </row>
    <row r="1495" spans="1:1">
      <c r="A1495" s="306"/>
    </row>
    <row r="1496" spans="1:1">
      <c r="A1496" s="306"/>
    </row>
    <row r="1497" spans="1:1">
      <c r="A1497" s="306"/>
    </row>
    <row r="1498" spans="1:1">
      <c r="A1498" s="306"/>
    </row>
    <row r="1499" spans="1:1">
      <c r="A1499" s="306"/>
    </row>
    <row r="1500" spans="1:1">
      <c r="A1500" s="306"/>
    </row>
    <row r="1501" spans="1:1">
      <c r="A1501" s="306"/>
    </row>
    <row r="1502" spans="1:1">
      <c r="A1502" s="306"/>
    </row>
    <row r="1503" spans="1:1">
      <c r="A1503" s="306"/>
    </row>
    <row r="1504" spans="1:1">
      <c r="A1504" s="306"/>
    </row>
    <row r="1505" spans="1:1">
      <c r="A1505" s="306"/>
    </row>
    <row r="1506" spans="1:1">
      <c r="A1506" s="306"/>
    </row>
    <row r="1507" spans="1:1">
      <c r="A1507" s="306"/>
    </row>
    <row r="1508" spans="1:1">
      <c r="A1508" s="306"/>
    </row>
    <row r="1509" spans="1:1">
      <c r="A1509" s="306"/>
    </row>
    <row r="1510" spans="1:1">
      <c r="A1510" s="306"/>
    </row>
    <row r="1511" spans="1:1">
      <c r="A1511" s="306"/>
    </row>
    <row r="1512" spans="1:1">
      <c r="A1512" s="306"/>
    </row>
    <row r="1513" spans="1:1">
      <c r="A1513" s="306"/>
    </row>
    <row r="1514" spans="1:1">
      <c r="A1514" s="306"/>
    </row>
    <row r="1515" spans="1:1">
      <c r="A1515" s="306"/>
    </row>
    <row r="1516" spans="1:1">
      <c r="A1516" s="306"/>
    </row>
    <row r="1517" spans="1:1">
      <c r="A1517" s="306"/>
    </row>
    <row r="1518" spans="1:1">
      <c r="A1518" s="306"/>
    </row>
    <row r="1519" spans="1:1">
      <c r="A1519" s="306"/>
    </row>
    <row r="1520" spans="1:1">
      <c r="A1520" s="306"/>
    </row>
    <row r="1521" spans="1:1">
      <c r="A1521" s="306"/>
    </row>
    <row r="1522" spans="1:1">
      <c r="A1522" s="306"/>
    </row>
    <row r="1523" spans="1:1">
      <c r="A1523" s="306"/>
    </row>
    <row r="1524" spans="1:1">
      <c r="A1524" s="306"/>
    </row>
    <row r="1525" spans="1:1">
      <c r="A1525" s="306"/>
    </row>
    <row r="1526" spans="1:1">
      <c r="A1526" s="306"/>
    </row>
    <row r="1527" spans="1:1">
      <c r="A1527" s="306"/>
    </row>
    <row r="1528" spans="1:1">
      <c r="A1528" s="306"/>
    </row>
    <row r="1529" spans="1:1">
      <c r="A1529" s="306"/>
    </row>
    <row r="1530" spans="1:1">
      <c r="A1530" s="306"/>
    </row>
    <row r="1531" spans="1:1">
      <c r="A1531" s="306"/>
    </row>
    <row r="1532" spans="1:1">
      <c r="A1532" s="306"/>
    </row>
    <row r="1533" spans="1:1">
      <c r="A1533" s="306"/>
    </row>
    <row r="1534" spans="1:1">
      <c r="A1534" s="306"/>
    </row>
    <row r="1535" spans="1:1">
      <c r="A1535" s="306"/>
    </row>
    <row r="1536" spans="1:1">
      <c r="A1536" s="306"/>
    </row>
    <row r="1537" spans="1:1">
      <c r="A1537" s="306"/>
    </row>
    <row r="1538" spans="1:1">
      <c r="A1538" s="306"/>
    </row>
    <row r="1539" spans="1:1">
      <c r="A1539" s="306"/>
    </row>
    <row r="1540" spans="1:1">
      <c r="A1540" s="306"/>
    </row>
    <row r="1541" spans="1:1">
      <c r="A1541" s="306"/>
    </row>
    <row r="1542" spans="1:1">
      <c r="A1542" s="306"/>
    </row>
    <row r="1543" spans="1:1">
      <c r="A1543" s="306"/>
    </row>
    <row r="1544" spans="1:1">
      <c r="A1544" s="306"/>
    </row>
    <row r="1545" spans="1:1">
      <c r="A1545" s="306"/>
    </row>
    <row r="1546" spans="1:1">
      <c r="A1546" s="306"/>
    </row>
    <row r="1547" spans="1:1">
      <c r="A1547" s="306"/>
    </row>
    <row r="1548" spans="1:1">
      <c r="A1548" s="306"/>
    </row>
    <row r="1549" spans="1:1">
      <c r="A1549" s="306"/>
    </row>
    <row r="1550" spans="1:1">
      <c r="A1550" s="306"/>
    </row>
    <row r="1551" spans="1:1">
      <c r="A1551" s="306"/>
    </row>
    <row r="1552" spans="1:1">
      <c r="A1552" s="306"/>
    </row>
    <row r="1553" spans="1:1">
      <c r="A1553" s="306"/>
    </row>
    <row r="1554" spans="1:1">
      <c r="A1554" s="306"/>
    </row>
    <row r="1555" spans="1:1">
      <c r="A1555" s="306"/>
    </row>
    <row r="1556" spans="1:1">
      <c r="A1556" s="306"/>
    </row>
    <row r="1557" spans="1:1">
      <c r="A1557" s="306"/>
    </row>
    <row r="1558" spans="1:1">
      <c r="A1558" s="306"/>
    </row>
    <row r="1559" spans="1:1">
      <c r="A1559" s="306"/>
    </row>
    <row r="1560" spans="1:1">
      <c r="A1560" s="306"/>
    </row>
    <row r="1561" spans="1:1">
      <c r="A1561" s="306"/>
    </row>
    <row r="1562" spans="1:1">
      <c r="A1562" s="306"/>
    </row>
    <row r="1563" spans="1:1">
      <c r="A1563" s="306"/>
    </row>
    <row r="1564" spans="1:1">
      <c r="A1564" s="306"/>
    </row>
    <row r="1565" spans="1:1">
      <c r="A1565" s="306"/>
    </row>
    <row r="1566" spans="1:1">
      <c r="A1566" s="306"/>
    </row>
    <row r="1567" spans="1:1">
      <c r="A1567" s="306"/>
    </row>
    <row r="1568" spans="1:1">
      <c r="A1568" s="306"/>
    </row>
    <row r="1569" spans="1:1">
      <c r="A1569" s="306"/>
    </row>
    <row r="1570" spans="1:1">
      <c r="A1570" s="306"/>
    </row>
    <row r="1571" spans="1:1">
      <c r="A1571" s="306"/>
    </row>
    <row r="1572" spans="1:1">
      <c r="A1572" s="306"/>
    </row>
    <row r="1573" spans="1:1">
      <c r="A1573" s="306"/>
    </row>
    <row r="1574" spans="1:1">
      <c r="A1574" s="306"/>
    </row>
    <row r="1575" spans="1:1">
      <c r="A1575" s="306"/>
    </row>
    <row r="1576" spans="1:1">
      <c r="A1576" s="306"/>
    </row>
    <row r="1577" spans="1:1">
      <c r="A1577" s="306"/>
    </row>
    <row r="1578" spans="1:1">
      <c r="A1578" s="306"/>
    </row>
    <row r="1579" spans="1:1">
      <c r="A1579" s="306"/>
    </row>
    <row r="1580" spans="1:1">
      <c r="A1580" s="306"/>
    </row>
    <row r="1581" spans="1:1">
      <c r="A1581" s="306"/>
    </row>
    <row r="1582" spans="1:1">
      <c r="A1582" s="306"/>
    </row>
    <row r="1583" spans="1:1">
      <c r="A1583" s="306"/>
    </row>
    <row r="1584" spans="1:1">
      <c r="A1584" s="306"/>
    </row>
    <row r="1585" spans="1:1">
      <c r="A1585" s="306"/>
    </row>
    <row r="1586" spans="1:1">
      <c r="A1586" s="306"/>
    </row>
    <row r="1587" spans="1:1">
      <c r="A1587" s="306"/>
    </row>
    <row r="1588" spans="1:1">
      <c r="A1588" s="306"/>
    </row>
    <row r="1589" spans="1:1">
      <c r="A1589" s="306"/>
    </row>
    <row r="1590" spans="1:1">
      <c r="A1590" s="306"/>
    </row>
    <row r="1591" spans="1:1">
      <c r="A1591" s="306"/>
    </row>
    <row r="1592" spans="1:1">
      <c r="A1592" s="306"/>
    </row>
    <row r="1593" spans="1:1">
      <c r="A1593" s="306"/>
    </row>
    <row r="1594" spans="1:1">
      <c r="A1594" s="306"/>
    </row>
    <row r="1595" spans="1:1">
      <c r="A1595" s="306"/>
    </row>
    <row r="1596" spans="1:1">
      <c r="A1596" s="306"/>
    </row>
    <row r="1597" spans="1:1">
      <c r="A1597" s="306"/>
    </row>
    <row r="1598" spans="1:1">
      <c r="A1598" s="306"/>
    </row>
    <row r="1599" spans="1:1">
      <c r="A1599" s="306"/>
    </row>
    <row r="1600" spans="1:1">
      <c r="A1600" s="306"/>
    </row>
    <row r="1601" spans="1:1">
      <c r="A1601" s="306"/>
    </row>
    <row r="1602" spans="1:1">
      <c r="A1602" s="306"/>
    </row>
    <row r="1603" spans="1:1">
      <c r="A1603" s="306"/>
    </row>
    <row r="1604" spans="1:1">
      <c r="A1604" s="306"/>
    </row>
    <row r="1605" spans="1:1">
      <c r="A1605" s="306"/>
    </row>
    <row r="1606" spans="1:1">
      <c r="A1606" s="306"/>
    </row>
    <row r="1607" spans="1:1">
      <c r="A1607" s="306"/>
    </row>
    <row r="1608" spans="1:1">
      <c r="A1608" s="306"/>
    </row>
    <row r="1609" spans="1:1">
      <c r="A1609" s="306"/>
    </row>
    <row r="1610" spans="1:1">
      <c r="A1610" s="306"/>
    </row>
    <row r="1611" spans="1:1">
      <c r="A1611" s="306"/>
    </row>
    <row r="1612" spans="1:1">
      <c r="A1612" s="306"/>
    </row>
    <row r="1613" spans="1:1">
      <c r="A1613" s="306"/>
    </row>
    <row r="1614" spans="1:1">
      <c r="A1614" s="306"/>
    </row>
    <row r="1615" spans="1:1">
      <c r="A1615" s="306"/>
    </row>
    <row r="1616" spans="1:1">
      <c r="A1616" s="306"/>
    </row>
    <row r="1617" spans="1:1">
      <c r="A1617" s="306"/>
    </row>
    <row r="1618" spans="1:1">
      <c r="A1618" s="306"/>
    </row>
    <row r="1619" spans="1:1">
      <c r="A1619" s="306"/>
    </row>
    <row r="1620" spans="1:1">
      <c r="A1620" s="306"/>
    </row>
    <row r="1621" spans="1:1">
      <c r="A1621" s="306"/>
    </row>
    <row r="1622" spans="1:1">
      <c r="A1622" s="306"/>
    </row>
    <row r="1623" spans="1:1">
      <c r="A1623" s="306"/>
    </row>
    <row r="1624" spans="1:1">
      <c r="A1624" s="306"/>
    </row>
    <row r="1625" spans="1:1">
      <c r="A1625" s="306"/>
    </row>
    <row r="1626" spans="1:1">
      <c r="A1626" s="306"/>
    </row>
    <row r="1627" spans="1:1">
      <c r="A1627" s="306"/>
    </row>
    <row r="1628" spans="1:1">
      <c r="A1628" s="306"/>
    </row>
    <row r="1629" spans="1:1">
      <c r="A1629" s="306"/>
    </row>
    <row r="1630" spans="1:1">
      <c r="A1630" s="306"/>
    </row>
    <row r="1631" spans="1:1">
      <c r="A1631" s="306"/>
    </row>
    <row r="1632" spans="1:1">
      <c r="A1632" s="306"/>
    </row>
    <row r="1633" spans="1:1">
      <c r="A1633" s="306"/>
    </row>
    <row r="1634" spans="1:1">
      <c r="A1634" s="306"/>
    </row>
    <row r="1635" spans="1:1">
      <c r="A1635" s="306"/>
    </row>
    <row r="1636" spans="1:1">
      <c r="A1636" s="306"/>
    </row>
    <row r="1637" spans="1:1">
      <c r="A1637" s="306"/>
    </row>
    <row r="1638" spans="1:1">
      <c r="A1638" s="306"/>
    </row>
    <row r="1639" spans="1:1">
      <c r="A1639" s="306"/>
    </row>
    <row r="1640" spans="1:1">
      <c r="A1640" s="306"/>
    </row>
    <row r="1641" spans="1:1">
      <c r="A1641" s="306"/>
    </row>
    <row r="1642" spans="1:1">
      <c r="A1642" s="306"/>
    </row>
    <row r="1643" spans="1:1">
      <c r="A1643" s="306"/>
    </row>
    <row r="1644" spans="1:1">
      <c r="A1644" s="306"/>
    </row>
    <row r="1645" spans="1:1">
      <c r="A1645" s="306"/>
    </row>
    <row r="1646" spans="1:1">
      <c r="A1646" s="306"/>
    </row>
    <row r="1647" spans="1:1">
      <c r="A1647" s="306"/>
    </row>
    <row r="1648" spans="1:1">
      <c r="A1648" s="306"/>
    </row>
    <row r="1649" spans="1:1">
      <c r="A1649" s="306"/>
    </row>
    <row r="1650" spans="1:1">
      <c r="A1650" s="306"/>
    </row>
    <row r="1651" spans="1:1">
      <c r="A1651" s="306"/>
    </row>
    <row r="1652" spans="1:1">
      <c r="A1652" s="306"/>
    </row>
    <row r="1653" spans="1:1">
      <c r="A1653" s="306"/>
    </row>
    <row r="1654" spans="1:1">
      <c r="A1654" s="306"/>
    </row>
    <row r="1655" spans="1:1">
      <c r="A1655" s="306"/>
    </row>
    <row r="1656" spans="1:1">
      <c r="A1656" s="306"/>
    </row>
    <row r="1657" spans="1:1">
      <c r="A1657" s="306"/>
    </row>
    <row r="1658" spans="1:1">
      <c r="A1658" s="306"/>
    </row>
    <row r="1659" spans="1:1">
      <c r="A1659" s="306"/>
    </row>
    <row r="1660" spans="1:1">
      <c r="A1660" s="306"/>
    </row>
    <row r="1661" spans="1:1">
      <c r="A1661" s="306"/>
    </row>
    <row r="1662" spans="1:1">
      <c r="A1662" s="306"/>
    </row>
    <row r="1663" spans="1:1">
      <c r="A1663" s="306"/>
    </row>
    <row r="1664" spans="1:1">
      <c r="A1664" s="306"/>
    </row>
    <row r="1665" spans="1:1">
      <c r="A1665" s="306"/>
    </row>
    <row r="1666" spans="1:1">
      <c r="A1666" s="306"/>
    </row>
    <row r="1667" spans="1:1">
      <c r="A1667" s="306"/>
    </row>
    <row r="1668" spans="1:1">
      <c r="A1668" s="306"/>
    </row>
    <row r="1669" spans="1:1">
      <c r="A1669" s="306"/>
    </row>
    <row r="1670" spans="1:1">
      <c r="A1670" s="306"/>
    </row>
    <row r="1671" spans="1:1">
      <c r="A1671" s="306"/>
    </row>
    <row r="1672" spans="1:1">
      <c r="A1672" s="306"/>
    </row>
    <row r="1673" spans="1:1">
      <c r="A1673" s="306"/>
    </row>
    <row r="1674" spans="1:1">
      <c r="A1674" s="306"/>
    </row>
    <row r="1675" spans="1:1">
      <c r="A1675" s="306"/>
    </row>
    <row r="1676" spans="1:1">
      <c r="A1676" s="306"/>
    </row>
    <row r="1677" spans="1:1">
      <c r="A1677" s="306"/>
    </row>
    <row r="1678" spans="1:1">
      <c r="A1678" s="306"/>
    </row>
    <row r="1679" spans="1:1">
      <c r="A1679" s="306"/>
    </row>
    <row r="1680" spans="1:1">
      <c r="A1680" s="306"/>
    </row>
    <row r="1681" spans="1:1">
      <c r="A1681" s="306"/>
    </row>
    <row r="1682" spans="1:1">
      <c r="A1682" s="306"/>
    </row>
    <row r="1683" spans="1:1">
      <c r="A1683" s="306"/>
    </row>
    <row r="1684" spans="1:1">
      <c r="A1684" s="306"/>
    </row>
    <row r="1685" spans="1:1">
      <c r="A1685" s="306"/>
    </row>
    <row r="1686" spans="1:1">
      <c r="A1686" s="306"/>
    </row>
    <row r="1687" spans="1:1">
      <c r="A1687" s="306"/>
    </row>
    <row r="1688" spans="1:1">
      <c r="A1688" s="306"/>
    </row>
    <row r="1689" spans="1:1">
      <c r="A1689" s="306"/>
    </row>
    <row r="1690" spans="1:1">
      <c r="A1690" s="306"/>
    </row>
    <row r="1691" spans="1:1">
      <c r="A1691" s="306"/>
    </row>
    <row r="1692" spans="1:1">
      <c r="A1692" s="306"/>
    </row>
    <row r="1693" spans="1:1">
      <c r="A1693" s="306"/>
    </row>
    <row r="1694" spans="1:1">
      <c r="A1694" s="306"/>
    </row>
    <row r="1695" spans="1:1">
      <c r="A1695" s="306"/>
    </row>
    <row r="1696" spans="1:1">
      <c r="A1696" s="306"/>
    </row>
    <row r="1697" spans="1:1">
      <c r="A1697" s="306"/>
    </row>
    <row r="1698" spans="1:1">
      <c r="A1698" s="306"/>
    </row>
    <row r="1699" spans="1:1">
      <c r="A1699" s="306"/>
    </row>
    <row r="1700" spans="1:1">
      <c r="A1700" s="306"/>
    </row>
    <row r="1701" spans="1:1">
      <c r="A1701" s="306"/>
    </row>
    <row r="1702" spans="1:1">
      <c r="A1702" s="306"/>
    </row>
    <row r="1703" spans="1:1">
      <c r="A1703" s="306"/>
    </row>
    <row r="1704" spans="1:1">
      <c r="A1704" s="306"/>
    </row>
    <row r="1705" spans="1:1">
      <c r="A1705" s="306"/>
    </row>
    <row r="1706" spans="1:1">
      <c r="A1706" s="306"/>
    </row>
    <row r="1707" spans="1:1">
      <c r="A1707" s="306"/>
    </row>
    <row r="1708" spans="1:1">
      <c r="A1708" s="306"/>
    </row>
    <row r="1709" spans="1:1">
      <c r="A1709" s="306"/>
    </row>
    <row r="1710" spans="1:1">
      <c r="A1710" s="306"/>
    </row>
    <row r="1711" spans="1:1">
      <c r="A1711" s="306"/>
    </row>
    <row r="1712" spans="1:1">
      <c r="A1712" s="306"/>
    </row>
    <row r="1713" spans="1:1">
      <c r="A1713" s="306"/>
    </row>
    <row r="1714" spans="1:1">
      <c r="A1714" s="306"/>
    </row>
    <row r="1715" spans="1:1">
      <c r="A1715" s="306"/>
    </row>
    <row r="1716" spans="1:1">
      <c r="A1716" s="306"/>
    </row>
    <row r="1717" spans="1:1">
      <c r="A1717" s="306"/>
    </row>
    <row r="1718" spans="1:1">
      <c r="A1718" s="306"/>
    </row>
    <row r="1719" spans="1:1">
      <c r="A1719" s="306"/>
    </row>
    <row r="1720" spans="1:1">
      <c r="A1720" s="306"/>
    </row>
    <row r="1721" spans="1:1">
      <c r="A1721" s="306"/>
    </row>
    <row r="1722" spans="1:1">
      <c r="A1722" s="306"/>
    </row>
    <row r="1723" spans="1:1">
      <c r="A1723" s="306"/>
    </row>
    <row r="1724" spans="1:1">
      <c r="A1724" s="306"/>
    </row>
    <row r="1725" spans="1:1">
      <c r="A1725" s="306"/>
    </row>
    <row r="1726" spans="1:1">
      <c r="A1726" s="306"/>
    </row>
    <row r="1727" spans="1:1">
      <c r="A1727" s="306"/>
    </row>
    <row r="1728" spans="1:1">
      <c r="A1728" s="306"/>
    </row>
    <row r="1729" spans="1:1">
      <c r="A1729" s="306"/>
    </row>
    <row r="1730" spans="1:1">
      <c r="A1730" s="306"/>
    </row>
    <row r="1731" spans="1:1">
      <c r="A1731" s="306"/>
    </row>
    <row r="1732" spans="1:1">
      <c r="A1732" s="306"/>
    </row>
    <row r="1733" spans="1:1">
      <c r="A1733" s="306"/>
    </row>
    <row r="1734" spans="1:1">
      <c r="A1734" s="306"/>
    </row>
    <row r="1735" spans="1:1">
      <c r="A1735" s="306"/>
    </row>
    <row r="1736" spans="1:1">
      <c r="A1736" s="306"/>
    </row>
    <row r="1737" spans="1:1">
      <c r="A1737" s="306"/>
    </row>
    <row r="1738" spans="1:1">
      <c r="A1738" s="306"/>
    </row>
    <row r="1739" spans="1:1">
      <c r="A1739" s="306"/>
    </row>
    <row r="1740" spans="1:1">
      <c r="A1740" s="306"/>
    </row>
    <row r="1741" spans="1:1">
      <c r="A1741" s="306"/>
    </row>
    <row r="1742" spans="1:1">
      <c r="A1742" s="306"/>
    </row>
    <row r="1743" spans="1:1">
      <c r="A1743" s="306"/>
    </row>
    <row r="1744" spans="1:1">
      <c r="A1744" s="306"/>
    </row>
    <row r="1745" spans="1:1">
      <c r="A1745" s="306"/>
    </row>
    <row r="1746" spans="1:1">
      <c r="A1746" s="306"/>
    </row>
    <row r="1747" spans="1:1">
      <c r="A1747" s="306"/>
    </row>
    <row r="1748" spans="1:1">
      <c r="A1748" s="306"/>
    </row>
    <row r="1749" spans="1:1">
      <c r="A1749" s="306"/>
    </row>
    <row r="1750" spans="1:1">
      <c r="A1750" s="306"/>
    </row>
    <row r="1751" spans="1:1">
      <c r="A1751" s="306"/>
    </row>
    <row r="1752" spans="1:1">
      <c r="A1752" s="306"/>
    </row>
    <row r="1753" spans="1:1">
      <c r="A1753" s="306"/>
    </row>
    <row r="1754" spans="1:1">
      <c r="A1754" s="306"/>
    </row>
    <row r="1755" spans="1:1">
      <c r="A1755" s="306"/>
    </row>
    <row r="1756" spans="1:1">
      <c r="A1756" s="306"/>
    </row>
    <row r="1757" spans="1:1">
      <c r="A1757" s="306"/>
    </row>
    <row r="1758" spans="1:1">
      <c r="A1758" s="306"/>
    </row>
    <row r="1759" spans="1:1">
      <c r="A1759" s="306"/>
    </row>
    <row r="1760" spans="1:1">
      <c r="A1760" s="306"/>
    </row>
    <row r="1761" spans="1:1">
      <c r="A1761" s="306"/>
    </row>
    <row r="1762" spans="1:1">
      <c r="A1762" s="306"/>
    </row>
    <row r="1763" spans="1:1">
      <c r="A1763" s="306"/>
    </row>
    <row r="1764" spans="1:1">
      <c r="A1764" s="306"/>
    </row>
    <row r="1765" spans="1:1">
      <c r="A1765" s="306"/>
    </row>
    <row r="1766" spans="1:1">
      <c r="A1766" s="306"/>
    </row>
    <row r="1767" spans="1:1">
      <c r="A1767" s="306"/>
    </row>
    <row r="1768" spans="1:1">
      <c r="A1768" s="306"/>
    </row>
    <row r="1769" spans="1:1">
      <c r="A1769" s="306"/>
    </row>
    <row r="1770" spans="1:1">
      <c r="A1770" s="306"/>
    </row>
    <row r="1771" spans="1:1">
      <c r="A1771" s="306"/>
    </row>
    <row r="1772" spans="1:1">
      <c r="A1772" s="306"/>
    </row>
    <row r="1773" spans="1:1">
      <c r="A1773" s="306"/>
    </row>
    <row r="1774" spans="1:1">
      <c r="A1774" s="306"/>
    </row>
    <row r="1775" spans="1:1">
      <c r="A1775" s="306"/>
    </row>
    <row r="1776" spans="1:1">
      <c r="A1776" s="306"/>
    </row>
    <row r="1777" spans="1:1">
      <c r="A1777" s="306"/>
    </row>
    <row r="1778" spans="1:1">
      <c r="A1778" s="306"/>
    </row>
    <row r="1779" spans="1:1">
      <c r="A1779" s="306"/>
    </row>
    <row r="1780" spans="1:1">
      <c r="A1780" s="306"/>
    </row>
    <row r="1781" spans="1:1">
      <c r="A1781" s="306"/>
    </row>
    <row r="1782" spans="1:1">
      <c r="A1782" s="306"/>
    </row>
    <row r="1783" spans="1:1">
      <c r="A1783" s="306"/>
    </row>
    <row r="1784" spans="1:1">
      <c r="A1784" s="306"/>
    </row>
    <row r="1785" spans="1:1">
      <c r="A1785" s="306"/>
    </row>
    <row r="1786" spans="1:1">
      <c r="A1786" s="306"/>
    </row>
    <row r="1787" spans="1:1">
      <c r="A1787" s="306"/>
    </row>
    <row r="1788" spans="1:1">
      <c r="A1788" s="306"/>
    </row>
    <row r="1789" spans="1:1">
      <c r="A1789" s="306"/>
    </row>
    <row r="1790" spans="1:1">
      <c r="A1790" s="306"/>
    </row>
    <row r="1791" spans="1:1">
      <c r="A1791" s="306"/>
    </row>
    <row r="1792" spans="1:1">
      <c r="A1792" s="306"/>
    </row>
    <row r="1793" spans="1:1">
      <c r="A1793" s="306"/>
    </row>
    <row r="1794" spans="1:1">
      <c r="A1794" s="306"/>
    </row>
    <row r="1795" spans="1:1">
      <c r="A1795" s="306"/>
    </row>
    <row r="1796" spans="1:1">
      <c r="A1796" s="306"/>
    </row>
    <row r="1797" spans="1:1">
      <c r="A1797" s="306"/>
    </row>
    <row r="1798" spans="1:1">
      <c r="A1798" s="306"/>
    </row>
    <row r="1799" spans="1:1">
      <c r="A1799" s="306"/>
    </row>
    <row r="1800" spans="1:1">
      <c r="A1800" s="306"/>
    </row>
    <row r="1801" spans="1:1">
      <c r="A1801" s="306"/>
    </row>
    <row r="1802" spans="1:1">
      <c r="A1802" s="306"/>
    </row>
    <row r="1803" spans="1:1">
      <c r="A1803" s="306"/>
    </row>
    <row r="1804" spans="1:1">
      <c r="A1804" s="306"/>
    </row>
    <row r="1805" spans="1:1">
      <c r="A1805" s="306"/>
    </row>
    <row r="1806" spans="1:1">
      <c r="A1806" s="306"/>
    </row>
    <row r="1807" spans="1:1">
      <c r="A1807" s="306"/>
    </row>
    <row r="1808" spans="1:1">
      <c r="A1808" s="306"/>
    </row>
    <row r="1809" spans="1:1">
      <c r="A1809" s="306"/>
    </row>
    <row r="1810" spans="1:1">
      <c r="A1810" s="306"/>
    </row>
    <row r="1811" spans="1:1">
      <c r="A1811" s="306"/>
    </row>
    <row r="1812" spans="1:1">
      <c r="A1812" s="306"/>
    </row>
    <row r="1813" spans="1:1">
      <c r="A1813" s="306"/>
    </row>
    <row r="1814" spans="1:1">
      <c r="A1814" s="306"/>
    </row>
    <row r="1815" spans="1:1">
      <c r="A1815" s="306"/>
    </row>
    <row r="1816" spans="1:1">
      <c r="A1816" s="306"/>
    </row>
    <row r="1817" spans="1:1">
      <c r="A1817" s="306"/>
    </row>
    <row r="1818" spans="1:1">
      <c r="A1818" s="306"/>
    </row>
    <row r="1819" spans="1:1">
      <c r="A1819" s="306"/>
    </row>
    <row r="1820" spans="1:1">
      <c r="A1820" s="306"/>
    </row>
    <row r="1821" spans="1:1">
      <c r="A1821" s="306"/>
    </row>
    <row r="1822" spans="1:1">
      <c r="A1822" s="306"/>
    </row>
    <row r="1823" spans="1:1">
      <c r="A1823" s="306"/>
    </row>
    <row r="1824" spans="1:1">
      <c r="A1824" s="306"/>
    </row>
    <row r="1825" spans="1:1">
      <c r="A1825" s="306"/>
    </row>
    <row r="1826" spans="1:1">
      <c r="A1826" s="306"/>
    </row>
    <row r="1827" spans="1:1">
      <c r="A1827" s="306"/>
    </row>
    <row r="1828" spans="1:1">
      <c r="A1828" s="306"/>
    </row>
    <row r="1829" spans="1:1">
      <c r="A1829" s="306"/>
    </row>
    <row r="1830" spans="1:1">
      <c r="A1830" s="306"/>
    </row>
    <row r="1831" spans="1:1">
      <c r="A1831" s="306"/>
    </row>
    <row r="1832" spans="1:1">
      <c r="A1832" s="306"/>
    </row>
    <row r="1833" spans="1:1">
      <c r="A1833" s="306"/>
    </row>
    <row r="1834" spans="1:1">
      <c r="A1834" s="306"/>
    </row>
    <row r="1835" spans="1:1">
      <c r="A1835" s="306"/>
    </row>
    <row r="1836" spans="1:1">
      <c r="A1836" s="306"/>
    </row>
    <row r="1837" spans="1:1">
      <c r="A1837" s="306"/>
    </row>
    <row r="1838" spans="1:1">
      <c r="A1838" s="306"/>
    </row>
    <row r="1839" spans="1:1">
      <c r="A1839" s="306"/>
    </row>
    <row r="1840" spans="1:1">
      <c r="A1840" s="306"/>
    </row>
    <row r="1841" spans="1:1">
      <c r="A1841" s="306"/>
    </row>
    <row r="1842" spans="1:1">
      <c r="A1842" s="306"/>
    </row>
    <row r="1843" spans="1:1">
      <c r="A1843" s="306"/>
    </row>
    <row r="1844" spans="1:1">
      <c r="A1844" s="306"/>
    </row>
    <row r="1845" spans="1:1">
      <c r="A1845" s="306"/>
    </row>
    <row r="1846" spans="1:1">
      <c r="A1846" s="306"/>
    </row>
    <row r="1847" spans="1:1">
      <c r="A1847" s="306"/>
    </row>
    <row r="1848" spans="1:1">
      <c r="A1848" s="306"/>
    </row>
    <row r="1849" spans="1:1">
      <c r="A1849" s="306"/>
    </row>
    <row r="1850" spans="1:1">
      <c r="A1850" s="306"/>
    </row>
    <row r="1851" spans="1:1">
      <c r="A1851" s="306"/>
    </row>
    <row r="1852" spans="1:1">
      <c r="A1852" s="306"/>
    </row>
    <row r="1853" spans="1:1">
      <c r="A1853" s="306"/>
    </row>
    <row r="1854" spans="1:1">
      <c r="A1854" s="306"/>
    </row>
    <row r="1855" spans="1:1">
      <c r="A1855" s="306"/>
    </row>
    <row r="1856" spans="1:1">
      <c r="A1856" s="306"/>
    </row>
    <row r="1857" spans="1:1">
      <c r="A1857" s="306"/>
    </row>
    <row r="1858" spans="1:1">
      <c r="A1858" s="306"/>
    </row>
    <row r="1859" spans="1:1">
      <c r="A1859" s="306"/>
    </row>
    <row r="1860" spans="1:1">
      <c r="A1860" s="306"/>
    </row>
    <row r="1861" spans="1:1">
      <c r="A1861" s="306"/>
    </row>
    <row r="1862" spans="1:1">
      <c r="A1862" s="306"/>
    </row>
    <row r="1863" spans="1:1">
      <c r="A1863" s="306"/>
    </row>
    <row r="1864" spans="1:1">
      <c r="A1864" s="306"/>
    </row>
    <row r="1865" spans="1:1">
      <c r="A1865" s="306"/>
    </row>
    <row r="1866" spans="1:1">
      <c r="A1866" s="306"/>
    </row>
    <row r="1867" spans="1:1">
      <c r="A1867" s="306"/>
    </row>
    <row r="1868" spans="1:1">
      <c r="A1868" s="306"/>
    </row>
    <row r="1869" spans="1:1">
      <c r="A1869" s="306"/>
    </row>
    <row r="1870" spans="1:1">
      <c r="A1870" s="306"/>
    </row>
    <row r="1871" spans="1:1">
      <c r="A1871" s="306"/>
    </row>
    <row r="1872" spans="1:1">
      <c r="A1872" s="306"/>
    </row>
    <row r="1873" spans="1:1">
      <c r="A1873" s="306"/>
    </row>
    <row r="1874" spans="1:1">
      <c r="A1874" s="306"/>
    </row>
    <row r="1875" spans="1:1">
      <c r="A1875" s="306"/>
    </row>
    <row r="1876" spans="1:1">
      <c r="A1876" s="306"/>
    </row>
    <row r="1877" spans="1:1">
      <c r="A1877" s="306"/>
    </row>
    <row r="1878" spans="1:1">
      <c r="A1878" s="306"/>
    </row>
    <row r="1879" spans="1:1">
      <c r="A1879" s="306"/>
    </row>
    <row r="1880" spans="1:1">
      <c r="A1880" s="306"/>
    </row>
    <row r="1881" spans="1:1">
      <c r="A1881" s="306"/>
    </row>
    <row r="1882" spans="1:1">
      <c r="A1882" s="306"/>
    </row>
    <row r="1883" spans="1:1">
      <c r="A1883" s="306"/>
    </row>
    <row r="1884" spans="1:1">
      <c r="A1884" s="306"/>
    </row>
    <row r="1885" spans="1:1">
      <c r="A1885" s="306"/>
    </row>
    <row r="1886" spans="1:1">
      <c r="A1886" s="306"/>
    </row>
    <row r="1887" spans="1:1">
      <c r="A1887" s="306"/>
    </row>
    <row r="1888" spans="1:1">
      <c r="A1888" s="306"/>
    </row>
    <row r="1889" spans="1:1">
      <c r="A1889" s="306"/>
    </row>
    <row r="1890" spans="1:1">
      <c r="A1890" s="306"/>
    </row>
    <row r="1891" spans="1:1">
      <c r="A1891" s="306"/>
    </row>
    <row r="1892" spans="1:1">
      <c r="A1892" s="306"/>
    </row>
    <row r="1893" spans="1:1">
      <c r="A1893" s="306"/>
    </row>
    <row r="1894" spans="1:1">
      <c r="A1894" s="306"/>
    </row>
    <row r="1895" spans="1:1">
      <c r="A1895" s="306"/>
    </row>
    <row r="1896" spans="1:1">
      <c r="A1896" s="306"/>
    </row>
    <row r="1897" spans="1:1">
      <c r="A1897" s="306"/>
    </row>
    <row r="1898" spans="1:1">
      <c r="A1898" s="306"/>
    </row>
    <row r="1899" spans="1:1">
      <c r="A1899" s="306"/>
    </row>
    <row r="1900" spans="1:1">
      <c r="A1900" s="306"/>
    </row>
    <row r="1901" spans="1:1">
      <c r="A1901" s="306"/>
    </row>
    <row r="1902" spans="1:1">
      <c r="A1902" s="306"/>
    </row>
    <row r="1903" spans="1:1">
      <c r="A1903" s="306"/>
    </row>
    <row r="1904" spans="1:1">
      <c r="A1904" s="306"/>
    </row>
    <row r="1905" spans="1:1">
      <c r="A1905" s="306"/>
    </row>
    <row r="1906" spans="1:1">
      <c r="A1906" s="306"/>
    </row>
    <row r="1907" spans="1:1">
      <c r="A1907" s="306"/>
    </row>
    <row r="1908" spans="1:1">
      <c r="A1908" s="306"/>
    </row>
    <row r="1909" spans="1:1">
      <c r="A1909" s="306"/>
    </row>
    <row r="1910" spans="1:1">
      <c r="A1910" s="306"/>
    </row>
    <row r="1911" spans="1:1">
      <c r="A1911" s="306"/>
    </row>
    <row r="1912" spans="1:1">
      <c r="A1912" s="306"/>
    </row>
    <row r="1913" spans="1:1">
      <c r="A1913" s="306"/>
    </row>
    <row r="1914" spans="1:1">
      <c r="A1914" s="306"/>
    </row>
    <row r="1915" spans="1:1">
      <c r="A1915" s="306"/>
    </row>
    <row r="1916" spans="1:1">
      <c r="A1916" s="306"/>
    </row>
    <row r="1917" spans="1:1">
      <c r="A1917" s="306"/>
    </row>
    <row r="1918" spans="1:1">
      <c r="A1918" s="306"/>
    </row>
    <row r="1919" spans="1:1">
      <c r="A1919" s="306"/>
    </row>
    <row r="1920" spans="1:1">
      <c r="A1920" s="306"/>
    </row>
    <row r="1921" spans="1:1">
      <c r="A1921" s="306"/>
    </row>
    <row r="1922" spans="1:1">
      <c r="A1922" s="306"/>
    </row>
    <row r="1923" spans="1:1">
      <c r="A1923" s="306"/>
    </row>
    <row r="1924" spans="1:1">
      <c r="A1924" s="306"/>
    </row>
    <row r="1925" spans="1:1">
      <c r="A1925" s="306"/>
    </row>
    <row r="1926" spans="1:1">
      <c r="A1926" s="306"/>
    </row>
    <row r="1927" spans="1:1">
      <c r="A1927" s="306"/>
    </row>
    <row r="1928" spans="1:1">
      <c r="A1928" s="306"/>
    </row>
    <row r="1929" spans="1:1">
      <c r="A1929" s="306"/>
    </row>
    <row r="1930" spans="1:1">
      <c r="A1930" s="306"/>
    </row>
    <row r="1931" spans="1:1">
      <c r="A1931" s="306"/>
    </row>
    <row r="1932" spans="1:1">
      <c r="A1932" s="306"/>
    </row>
    <row r="1933" spans="1:1">
      <c r="A1933" s="306"/>
    </row>
    <row r="1934" spans="1:1">
      <c r="A1934" s="306"/>
    </row>
    <row r="1935" spans="1:1">
      <c r="A1935" s="306"/>
    </row>
    <row r="1936" spans="1:1">
      <c r="A1936" s="306"/>
    </row>
    <row r="1937" spans="1:1">
      <c r="A1937" s="306"/>
    </row>
    <row r="1938" spans="1:1">
      <c r="A1938" s="306"/>
    </row>
    <row r="1939" spans="1:1">
      <c r="A1939" s="306"/>
    </row>
    <row r="1940" spans="1:1">
      <c r="A1940" s="306"/>
    </row>
    <row r="1941" spans="1:1">
      <c r="A1941" s="306"/>
    </row>
    <row r="1942" spans="1:1">
      <c r="A1942" s="306"/>
    </row>
    <row r="1943" spans="1:1">
      <c r="A1943" s="306"/>
    </row>
    <row r="1944" spans="1:1">
      <c r="A1944" s="306"/>
    </row>
    <row r="1945" spans="1:1">
      <c r="A1945" s="306"/>
    </row>
    <row r="1946" spans="1:1">
      <c r="A1946" s="306"/>
    </row>
    <row r="1947" spans="1:1">
      <c r="A1947" s="306"/>
    </row>
    <row r="1948" spans="1:1">
      <c r="A1948" s="306"/>
    </row>
    <row r="1949" spans="1:1">
      <c r="A1949" s="306"/>
    </row>
    <row r="1950" spans="1:1">
      <c r="A1950" s="306"/>
    </row>
    <row r="1951" spans="1:1">
      <c r="A1951" s="306"/>
    </row>
    <row r="1952" spans="1:1">
      <c r="A1952" s="306"/>
    </row>
    <row r="1953" spans="1:1">
      <c r="A1953" s="306"/>
    </row>
    <row r="1954" spans="1:1">
      <c r="A1954" s="306"/>
    </row>
    <row r="1955" spans="1:1">
      <c r="A1955" s="306"/>
    </row>
    <row r="1956" spans="1:1">
      <c r="A1956" s="306"/>
    </row>
    <row r="1957" spans="1:1">
      <c r="A1957" s="306"/>
    </row>
    <row r="1958" spans="1:1">
      <c r="A1958" s="306"/>
    </row>
    <row r="1959" spans="1:1">
      <c r="A1959" s="306"/>
    </row>
    <row r="1960" spans="1:1">
      <c r="A1960" s="306"/>
    </row>
    <row r="1961" spans="1:1">
      <c r="A1961" s="306"/>
    </row>
    <row r="1962" spans="1:1">
      <c r="A1962" s="306"/>
    </row>
    <row r="1963" spans="1:1">
      <c r="A1963" s="306"/>
    </row>
    <row r="1964" spans="1:1">
      <c r="A1964" s="306"/>
    </row>
    <row r="1965" spans="1:1">
      <c r="A1965" s="306"/>
    </row>
    <row r="1966" spans="1:1">
      <c r="A1966" s="306"/>
    </row>
    <row r="1967" spans="1:1">
      <c r="A1967" s="306"/>
    </row>
    <row r="1968" spans="1:1">
      <c r="A1968" s="306"/>
    </row>
    <row r="1969" spans="1:1">
      <c r="A1969" s="306"/>
    </row>
    <row r="1970" spans="1:1">
      <c r="A1970" s="306"/>
    </row>
    <row r="1971" spans="1:1">
      <c r="A1971" s="306"/>
    </row>
    <row r="1972" spans="1:1">
      <c r="A1972" s="306"/>
    </row>
    <row r="1973" spans="1:1">
      <c r="A1973" s="306"/>
    </row>
    <row r="1974" spans="1:1">
      <c r="A1974" s="306"/>
    </row>
    <row r="1975" spans="1:1">
      <c r="A1975" s="306"/>
    </row>
    <row r="1976" spans="1:1">
      <c r="A1976" s="306"/>
    </row>
    <row r="1977" spans="1:1">
      <c r="A1977" s="306"/>
    </row>
    <row r="1978" spans="1:1">
      <c r="A1978" s="306"/>
    </row>
    <row r="1979" spans="1:1">
      <c r="A1979" s="306"/>
    </row>
    <row r="1980" spans="1:1">
      <c r="A1980" s="306"/>
    </row>
    <row r="1981" spans="1:1">
      <c r="A1981" s="306"/>
    </row>
    <row r="1982" spans="1:1">
      <c r="A1982" s="306"/>
    </row>
    <row r="1983" spans="1:1">
      <c r="A1983" s="306"/>
    </row>
    <row r="1984" spans="1:1">
      <c r="A1984" s="306"/>
    </row>
    <row r="1985" spans="1:1">
      <c r="A1985" s="306"/>
    </row>
    <row r="1986" spans="1:1">
      <c r="A1986" s="306"/>
    </row>
    <row r="1987" spans="1:1">
      <c r="A1987" s="306"/>
    </row>
    <row r="1988" spans="1:1">
      <c r="A1988" s="306"/>
    </row>
    <row r="1989" spans="1:1">
      <c r="A1989" s="306"/>
    </row>
    <row r="1990" spans="1:1">
      <c r="A1990" s="306"/>
    </row>
    <row r="1991" spans="1:1">
      <c r="A1991" s="306"/>
    </row>
    <row r="1992" spans="1:1">
      <c r="A1992" s="306"/>
    </row>
    <row r="1993" spans="1:1">
      <c r="A1993" s="306"/>
    </row>
    <row r="1994" spans="1:1">
      <c r="A1994" s="306"/>
    </row>
    <row r="1995" spans="1:1">
      <c r="A1995" s="306"/>
    </row>
    <row r="1996" spans="1:1">
      <c r="A1996" s="306"/>
    </row>
    <row r="1997" spans="1:1">
      <c r="A1997" s="306"/>
    </row>
    <row r="1998" spans="1:1">
      <c r="A1998" s="306"/>
    </row>
    <row r="1999" spans="1:1">
      <c r="A1999" s="306"/>
    </row>
    <row r="2000" spans="1:1">
      <c r="A2000" s="306"/>
    </row>
    <row r="2001" spans="1:1">
      <c r="A2001" s="306"/>
    </row>
    <row r="2002" spans="1:1">
      <c r="A2002" s="306"/>
    </row>
    <row r="2003" spans="1:1">
      <c r="A2003" s="306"/>
    </row>
    <row r="2004" spans="1:1">
      <c r="A2004" s="306"/>
    </row>
    <row r="2005" spans="1:1">
      <c r="A2005" s="306"/>
    </row>
    <row r="2006" spans="1:1">
      <c r="A2006" s="306"/>
    </row>
    <row r="2007" spans="1:1">
      <c r="A2007" s="306"/>
    </row>
    <row r="2008" spans="1:1">
      <c r="A2008" s="306"/>
    </row>
    <row r="2009" spans="1:1">
      <c r="A2009" s="306"/>
    </row>
    <row r="2010" spans="1:1">
      <c r="A2010" s="306"/>
    </row>
    <row r="2011" spans="1:1">
      <c r="A2011" s="306"/>
    </row>
    <row r="2012" spans="1:1">
      <c r="A2012" s="306"/>
    </row>
    <row r="2013" spans="1:1">
      <c r="A2013" s="306"/>
    </row>
    <row r="2014" spans="1:1">
      <c r="A2014" s="306"/>
    </row>
    <row r="2015" spans="1:1">
      <c r="A2015" s="306"/>
    </row>
    <row r="2016" spans="1:1">
      <c r="A2016" s="306"/>
    </row>
    <row r="2017" spans="1:1">
      <c r="A2017" s="306"/>
    </row>
    <row r="2018" spans="1:1">
      <c r="A2018" s="306"/>
    </row>
    <row r="2019" spans="1:1">
      <c r="A2019" s="306"/>
    </row>
    <row r="2020" spans="1:1">
      <c r="A2020" s="306"/>
    </row>
    <row r="2021" spans="1:1">
      <c r="A2021" s="306"/>
    </row>
    <row r="2022" spans="1:1">
      <c r="A2022" s="306"/>
    </row>
    <row r="2023" spans="1:1">
      <c r="A2023" s="306"/>
    </row>
    <row r="2024" spans="1:1">
      <c r="A2024" s="306"/>
    </row>
    <row r="2025" spans="1:1">
      <c r="A2025" s="306"/>
    </row>
    <row r="2026" spans="1:1">
      <c r="A2026" s="306"/>
    </row>
    <row r="2027" spans="1:1">
      <c r="A2027" s="306"/>
    </row>
    <row r="2028" spans="1:1">
      <c r="A2028" s="306"/>
    </row>
    <row r="2029" spans="1:1">
      <c r="A2029" s="306"/>
    </row>
    <row r="2030" spans="1:1">
      <c r="A2030" s="306"/>
    </row>
    <row r="2031" spans="1:1">
      <c r="A2031" s="306"/>
    </row>
    <row r="2032" spans="1:1">
      <c r="A2032" s="306"/>
    </row>
    <row r="2033" spans="1:1">
      <c r="A2033" s="306"/>
    </row>
    <row r="2034" spans="1:1">
      <c r="A2034" s="306"/>
    </row>
    <row r="2035" spans="1:1">
      <c r="A2035" s="306"/>
    </row>
    <row r="2036" spans="1:1">
      <c r="A2036" s="306"/>
    </row>
    <row r="2037" spans="1:1">
      <c r="A2037" s="306"/>
    </row>
    <row r="2038" spans="1:1">
      <c r="A2038" s="306"/>
    </row>
    <row r="2039" spans="1:1">
      <c r="A2039" s="306"/>
    </row>
    <row r="2040" spans="1:1">
      <c r="A2040" s="306"/>
    </row>
    <row r="2041" spans="1:1">
      <c r="A2041" s="306"/>
    </row>
    <row r="2042" spans="1:1">
      <c r="A2042" s="306"/>
    </row>
    <row r="2043" spans="1:1">
      <c r="A2043" s="306"/>
    </row>
    <row r="2044" spans="1:1">
      <c r="A2044" s="306"/>
    </row>
    <row r="2045" spans="1:1">
      <c r="A2045" s="306"/>
    </row>
    <row r="2046" spans="1:1">
      <c r="A2046" s="306"/>
    </row>
    <row r="2047" spans="1:1">
      <c r="A2047" s="306"/>
    </row>
    <row r="2048" spans="1:1">
      <c r="A2048" s="306"/>
    </row>
    <row r="2049" spans="1:1">
      <c r="A2049" s="306"/>
    </row>
    <row r="2050" spans="1:1">
      <c r="A2050" s="306"/>
    </row>
    <row r="2051" spans="1:1">
      <c r="A2051" s="306"/>
    </row>
    <row r="2052" spans="1:1">
      <c r="A2052" s="306"/>
    </row>
    <row r="2053" spans="1:1">
      <c r="A2053" s="306"/>
    </row>
    <row r="2054" spans="1:1">
      <c r="A2054" s="306"/>
    </row>
    <row r="2055" spans="1:1">
      <c r="A2055" s="306"/>
    </row>
    <row r="2056" spans="1:1">
      <c r="A2056" s="306"/>
    </row>
    <row r="2057" spans="1:1">
      <c r="A2057" s="306"/>
    </row>
    <row r="2058" spans="1:1">
      <c r="A2058" s="306"/>
    </row>
    <row r="2059" spans="1:1">
      <c r="A2059" s="306"/>
    </row>
    <row r="2060" spans="1:1">
      <c r="A2060" s="306"/>
    </row>
    <row r="2061" spans="1:1">
      <c r="A2061" s="306"/>
    </row>
    <row r="2062" spans="1:1">
      <c r="A2062" s="306"/>
    </row>
    <row r="2063" spans="1:1">
      <c r="A2063" s="306"/>
    </row>
    <row r="2064" spans="1:1">
      <c r="A2064" s="306"/>
    </row>
    <row r="2065" spans="1:1">
      <c r="A2065" s="306"/>
    </row>
    <row r="2066" spans="1:1">
      <c r="A2066" s="306"/>
    </row>
    <row r="2067" spans="1:1">
      <c r="A2067" s="306"/>
    </row>
    <row r="2068" spans="1:1">
      <c r="A2068" s="306"/>
    </row>
    <row r="2069" spans="1:1">
      <c r="A2069" s="306"/>
    </row>
    <row r="2070" spans="1:1">
      <c r="A2070" s="306"/>
    </row>
    <row r="2071" spans="1:1">
      <c r="A2071" s="306"/>
    </row>
    <row r="2072" spans="1:1">
      <c r="A2072" s="306"/>
    </row>
    <row r="2073" spans="1:1">
      <c r="A2073" s="306"/>
    </row>
    <row r="2074" spans="1:1">
      <c r="A2074" s="306"/>
    </row>
    <row r="2075" spans="1:1">
      <c r="A2075" s="306"/>
    </row>
    <row r="2076" spans="1:1">
      <c r="A2076" s="306"/>
    </row>
    <row r="2077" spans="1:1">
      <c r="A2077" s="306"/>
    </row>
    <row r="2078" spans="1:1">
      <c r="A2078" s="306"/>
    </row>
    <row r="2079" spans="1:1">
      <c r="A2079" s="306"/>
    </row>
    <row r="2080" spans="1:1">
      <c r="A2080" s="306"/>
    </row>
    <row r="2081" spans="1:1">
      <c r="A2081" s="306"/>
    </row>
    <row r="2082" spans="1:1">
      <c r="A2082" s="306"/>
    </row>
    <row r="2083" spans="1:1">
      <c r="A2083" s="306"/>
    </row>
    <row r="2084" spans="1:1">
      <c r="A2084" s="306"/>
    </row>
    <row r="2085" spans="1:1">
      <c r="A2085" s="306"/>
    </row>
    <row r="2086" spans="1:1">
      <c r="A2086" s="306"/>
    </row>
    <row r="2087" spans="1:1">
      <c r="A2087" s="306"/>
    </row>
    <row r="2088" spans="1:1">
      <c r="A2088" s="306"/>
    </row>
    <row r="2089" spans="1:1">
      <c r="A2089" s="306"/>
    </row>
    <row r="2090" spans="1:1">
      <c r="A2090" s="306"/>
    </row>
    <row r="2091" spans="1:1">
      <c r="A2091" s="306"/>
    </row>
    <row r="2092" spans="1:1">
      <c r="A2092" s="306"/>
    </row>
    <row r="2093" spans="1:1">
      <c r="A2093" s="306"/>
    </row>
    <row r="2094" spans="1:1">
      <c r="A2094" s="306"/>
    </row>
    <row r="2095" spans="1:1">
      <c r="A2095" s="306"/>
    </row>
    <row r="2096" spans="1:1">
      <c r="A2096" s="306"/>
    </row>
    <row r="2097" spans="1:1">
      <c r="A2097" s="306"/>
    </row>
    <row r="2098" spans="1:1">
      <c r="A2098" s="306"/>
    </row>
    <row r="2099" spans="1:1">
      <c r="A2099" s="306"/>
    </row>
    <row r="2100" spans="1:1">
      <c r="A2100" s="306"/>
    </row>
    <row r="2101" spans="1:1">
      <c r="A2101" s="306"/>
    </row>
    <row r="2102" spans="1:1">
      <c r="A2102" s="306"/>
    </row>
    <row r="2103" spans="1:1">
      <c r="A2103" s="306"/>
    </row>
    <row r="2104" spans="1:1">
      <c r="A2104" s="306"/>
    </row>
    <row r="2105" spans="1:1">
      <c r="A2105" s="306"/>
    </row>
    <row r="2106" spans="1:1">
      <c r="A2106" s="306"/>
    </row>
    <row r="2107" spans="1:1">
      <c r="A2107" s="306"/>
    </row>
    <row r="2108" spans="1:1">
      <c r="A2108" s="306"/>
    </row>
    <row r="2109" spans="1:1">
      <c r="A2109" s="306"/>
    </row>
    <row r="2110" spans="1:1">
      <c r="A2110" s="306"/>
    </row>
    <row r="2111" spans="1:1">
      <c r="A2111" s="306"/>
    </row>
    <row r="2112" spans="1:1">
      <c r="A2112" s="306"/>
    </row>
    <row r="2113" spans="1:1">
      <c r="A2113" s="306"/>
    </row>
    <row r="2114" spans="1:1">
      <c r="A2114" s="306"/>
    </row>
    <row r="2115" spans="1:1">
      <c r="A2115" s="306"/>
    </row>
    <row r="2116" spans="1:1">
      <c r="A2116" s="306"/>
    </row>
    <row r="2117" spans="1:1">
      <c r="A2117" s="306"/>
    </row>
    <row r="2118" spans="1:1">
      <c r="A2118" s="306"/>
    </row>
    <row r="2119" spans="1:1">
      <c r="A2119" s="306"/>
    </row>
    <row r="2120" spans="1:1">
      <c r="A2120" s="306"/>
    </row>
    <row r="2121" spans="1:1">
      <c r="A2121" s="306"/>
    </row>
    <row r="2122" spans="1:1">
      <c r="A2122" s="306"/>
    </row>
    <row r="2123" spans="1:1">
      <c r="A2123" s="306"/>
    </row>
    <row r="2124" spans="1:1">
      <c r="A2124" s="306"/>
    </row>
    <row r="2125" spans="1:1">
      <c r="A2125" s="306"/>
    </row>
    <row r="2126" spans="1:1">
      <c r="A2126" s="306"/>
    </row>
    <row r="2127" spans="1:1">
      <c r="A2127" s="306"/>
    </row>
    <row r="2128" spans="1:1">
      <c r="A2128" s="306"/>
    </row>
    <row r="2129" spans="1:1">
      <c r="A2129" s="306"/>
    </row>
    <row r="2130" spans="1:1">
      <c r="A2130" s="306"/>
    </row>
    <row r="2131" spans="1:1">
      <c r="A2131" s="306"/>
    </row>
    <row r="2132" spans="1:1">
      <c r="A2132" s="306"/>
    </row>
    <row r="2133" spans="1:1">
      <c r="A2133" s="306"/>
    </row>
    <row r="2134" spans="1:1">
      <c r="A2134" s="306"/>
    </row>
    <row r="2135" spans="1:1">
      <c r="A2135" s="306"/>
    </row>
    <row r="2136" spans="1:1">
      <c r="A2136" s="306"/>
    </row>
    <row r="2137" spans="1:1">
      <c r="A2137" s="306"/>
    </row>
    <row r="2138" spans="1:1">
      <c r="A2138" s="306"/>
    </row>
    <row r="2139" spans="1:1">
      <c r="A2139" s="306"/>
    </row>
    <row r="2140" spans="1:1">
      <c r="A2140" s="306"/>
    </row>
    <row r="2141" spans="1:1">
      <c r="A2141" s="306"/>
    </row>
    <row r="2142" spans="1:1">
      <c r="A2142" s="306"/>
    </row>
    <row r="2143" spans="1:1">
      <c r="A2143" s="306"/>
    </row>
    <row r="2144" spans="1:1">
      <c r="A2144" s="306"/>
    </row>
    <row r="2145" spans="1:1">
      <c r="A2145" s="306"/>
    </row>
    <row r="2146" spans="1:1">
      <c r="A2146" s="306"/>
    </row>
    <row r="2147" spans="1:1">
      <c r="A2147" s="306"/>
    </row>
    <row r="2148" spans="1:1">
      <c r="A2148" s="306"/>
    </row>
    <row r="2149" spans="1:1">
      <c r="A2149" s="306"/>
    </row>
    <row r="2150" spans="1:1">
      <c r="A2150" s="306"/>
    </row>
    <row r="2151" spans="1:1">
      <c r="A2151" s="306"/>
    </row>
    <row r="2152" spans="1:1">
      <c r="A2152" s="306"/>
    </row>
    <row r="2153" spans="1:1">
      <c r="A2153" s="306"/>
    </row>
    <row r="2154" spans="1:1">
      <c r="A2154" s="306"/>
    </row>
    <row r="2155" spans="1:1">
      <c r="A2155" s="306"/>
    </row>
    <row r="2156" spans="1:1">
      <c r="A2156" s="306"/>
    </row>
    <row r="2157" spans="1:1">
      <c r="A2157" s="306"/>
    </row>
    <row r="2158" spans="1:1">
      <c r="A2158" s="306"/>
    </row>
    <row r="2159" spans="1:1">
      <c r="A2159" s="306"/>
    </row>
    <row r="2160" spans="1:1">
      <c r="A2160" s="306"/>
    </row>
    <row r="2161" spans="1:1">
      <c r="A2161" s="306"/>
    </row>
    <row r="2162" spans="1:1">
      <c r="A2162" s="306"/>
    </row>
    <row r="2163" spans="1:1">
      <c r="A2163" s="306"/>
    </row>
    <row r="2164" spans="1:1">
      <c r="A2164" s="306"/>
    </row>
    <row r="2165" spans="1:1">
      <c r="A2165" s="306"/>
    </row>
    <row r="2166" spans="1:1">
      <c r="A2166" s="306"/>
    </row>
    <row r="2167" spans="1:1">
      <c r="A2167" s="306"/>
    </row>
    <row r="2168" spans="1:1">
      <c r="A2168" s="306"/>
    </row>
    <row r="2169" spans="1:1">
      <c r="A2169" s="306"/>
    </row>
    <row r="2170" spans="1:1">
      <c r="A2170" s="306"/>
    </row>
    <row r="2171" spans="1:1">
      <c r="A2171" s="306"/>
    </row>
    <row r="2172" spans="1:1">
      <c r="A2172" s="306"/>
    </row>
    <row r="2173" spans="1:1">
      <c r="A2173" s="306"/>
    </row>
    <row r="2174" spans="1:1">
      <c r="A2174" s="306"/>
    </row>
    <row r="2175" spans="1:1">
      <c r="A2175" s="306"/>
    </row>
    <row r="2176" spans="1:1">
      <c r="A2176" s="306"/>
    </row>
    <row r="2177" spans="1:1">
      <c r="A2177" s="306"/>
    </row>
    <row r="2178" spans="1:1">
      <c r="A2178" s="306"/>
    </row>
    <row r="2179" spans="1:1">
      <c r="A2179" s="306"/>
    </row>
    <row r="2180" spans="1:1">
      <c r="A2180" s="306"/>
    </row>
    <row r="2181" spans="1:1">
      <c r="A2181" s="306"/>
    </row>
    <row r="2182" spans="1:1">
      <c r="A2182" s="306"/>
    </row>
    <row r="2183" spans="1:1">
      <c r="A2183" s="306"/>
    </row>
    <row r="2184" spans="1:1">
      <c r="A2184" s="306"/>
    </row>
    <row r="2185" spans="1:1">
      <c r="A2185" s="306"/>
    </row>
    <row r="2186" spans="1:1">
      <c r="A2186" s="306"/>
    </row>
    <row r="2187" spans="1:1">
      <c r="A2187" s="306"/>
    </row>
    <row r="2188" spans="1:1">
      <c r="A2188" s="306"/>
    </row>
    <row r="2189" spans="1:1">
      <c r="A2189" s="306"/>
    </row>
    <row r="2190" spans="1:1">
      <c r="A2190" s="306"/>
    </row>
    <row r="2191" spans="1:1">
      <c r="A2191" s="306"/>
    </row>
    <row r="2192" spans="1:1">
      <c r="A2192" s="306"/>
    </row>
    <row r="2193" spans="1:1">
      <c r="A2193" s="306"/>
    </row>
    <row r="2194" spans="1:1">
      <c r="A2194" s="306"/>
    </row>
    <row r="2195" spans="1:1">
      <c r="A2195" s="306"/>
    </row>
    <row r="2196" spans="1:1">
      <c r="A2196" s="306"/>
    </row>
    <row r="2197" spans="1:1">
      <c r="A2197" s="306"/>
    </row>
    <row r="2198" spans="1:1">
      <c r="A2198" s="306"/>
    </row>
    <row r="2199" spans="1:1">
      <c r="A2199" s="306"/>
    </row>
    <row r="2200" spans="1:1">
      <c r="A2200" s="306"/>
    </row>
    <row r="2201" spans="1:1">
      <c r="A2201" s="306"/>
    </row>
    <row r="2202" spans="1:1">
      <c r="A2202" s="306"/>
    </row>
    <row r="2203" spans="1:1">
      <c r="A2203" s="306"/>
    </row>
    <row r="2204" spans="1:1">
      <c r="A2204" s="306"/>
    </row>
    <row r="2205" spans="1:1">
      <c r="A2205" s="306"/>
    </row>
    <row r="2206" spans="1:1">
      <c r="A2206" s="306"/>
    </row>
    <row r="2207" spans="1:1">
      <c r="A2207" s="306"/>
    </row>
    <row r="2208" spans="1:1">
      <c r="A2208" s="306"/>
    </row>
    <row r="2209" spans="1:1">
      <c r="A2209" s="306"/>
    </row>
    <row r="2210" spans="1:1">
      <c r="A2210" s="306"/>
    </row>
    <row r="2211" spans="1:1">
      <c r="A2211" s="306"/>
    </row>
    <row r="2212" spans="1:1">
      <c r="A2212" s="306"/>
    </row>
    <row r="2213" spans="1:1">
      <c r="A2213" s="306"/>
    </row>
    <row r="2214" spans="1:1">
      <c r="A2214" s="306"/>
    </row>
    <row r="2215" spans="1:1">
      <c r="A2215" s="306"/>
    </row>
    <row r="2216" spans="1:1">
      <c r="A2216" s="306"/>
    </row>
    <row r="2217" spans="1:1">
      <c r="A2217" s="306"/>
    </row>
    <row r="2218" spans="1:1">
      <c r="A2218" s="306"/>
    </row>
    <row r="2219" spans="1:1">
      <c r="A2219" s="306"/>
    </row>
    <row r="2220" spans="1:1">
      <c r="A2220" s="306"/>
    </row>
    <row r="2221" spans="1:1">
      <c r="A2221" s="306"/>
    </row>
    <row r="2222" spans="1:1">
      <c r="A2222" s="306"/>
    </row>
    <row r="2223" spans="1:1">
      <c r="A2223" s="306"/>
    </row>
    <row r="2224" spans="1:1">
      <c r="A2224" s="306"/>
    </row>
    <row r="2225" spans="1:1">
      <c r="A2225" s="306"/>
    </row>
    <row r="2226" spans="1:1">
      <c r="A2226" s="306"/>
    </row>
    <row r="2227" spans="1:1">
      <c r="A2227" s="306"/>
    </row>
    <row r="2228" spans="1:1">
      <c r="A2228" s="306"/>
    </row>
    <row r="2229" spans="1:1">
      <c r="A2229" s="306"/>
    </row>
    <row r="2230" spans="1:1">
      <c r="A2230" s="306"/>
    </row>
    <row r="2231" spans="1:1">
      <c r="A2231" s="306"/>
    </row>
    <row r="2232" spans="1:1">
      <c r="A2232" s="306"/>
    </row>
    <row r="2233" spans="1:1">
      <c r="A2233" s="306"/>
    </row>
    <row r="2234" spans="1:1">
      <c r="A2234" s="306"/>
    </row>
    <row r="2235" spans="1:1">
      <c r="A2235" s="306"/>
    </row>
    <row r="2236" spans="1:1">
      <c r="A2236" s="306"/>
    </row>
    <row r="2237" spans="1:1">
      <c r="A2237" s="306"/>
    </row>
    <row r="2238" spans="1:1">
      <c r="A2238" s="306"/>
    </row>
    <row r="2239" spans="1:1">
      <c r="A2239" s="306"/>
    </row>
    <row r="2240" spans="1:1">
      <c r="A2240" s="306"/>
    </row>
    <row r="2241" spans="1:1">
      <c r="A2241" s="306"/>
    </row>
    <row r="2242" spans="1:1">
      <c r="A2242" s="306"/>
    </row>
    <row r="2243" spans="1:1">
      <c r="A2243" s="306"/>
    </row>
    <row r="2244" spans="1:1">
      <c r="A2244" s="306"/>
    </row>
    <row r="2245" spans="1:1">
      <c r="A2245" s="306"/>
    </row>
    <row r="2246" spans="1:1">
      <c r="A2246" s="306"/>
    </row>
    <row r="2247" spans="1:1">
      <c r="A2247" s="306"/>
    </row>
    <row r="2248" spans="1:1">
      <c r="A2248" s="306"/>
    </row>
    <row r="2249" spans="1:1">
      <c r="A2249" s="306"/>
    </row>
    <row r="2250" spans="1:1">
      <c r="A2250" s="306"/>
    </row>
    <row r="2251" spans="1:1">
      <c r="A2251" s="306"/>
    </row>
    <row r="2252" spans="1:1">
      <c r="A2252" s="306"/>
    </row>
    <row r="2253" spans="1:1">
      <c r="A2253" s="306"/>
    </row>
    <row r="2254" spans="1:1">
      <c r="A2254" s="306"/>
    </row>
    <row r="2255" spans="1:1">
      <c r="A2255" s="306"/>
    </row>
    <row r="2256" spans="1:1">
      <c r="A2256" s="306"/>
    </row>
    <row r="2257" spans="1:1">
      <c r="A2257" s="306"/>
    </row>
    <row r="2258" spans="1:1">
      <c r="A2258" s="306"/>
    </row>
    <row r="2259" spans="1:1">
      <c r="A2259" s="306"/>
    </row>
    <row r="2260" spans="1:1">
      <c r="A2260" s="306"/>
    </row>
    <row r="2261" spans="1:1">
      <c r="A2261" s="306"/>
    </row>
    <row r="2262" spans="1:1">
      <c r="A2262" s="306"/>
    </row>
    <row r="2263" spans="1:1">
      <c r="A2263" s="306"/>
    </row>
    <row r="2264" spans="1:1">
      <c r="A2264" s="306"/>
    </row>
    <row r="2265" spans="1:1">
      <c r="A2265" s="306"/>
    </row>
    <row r="2266" spans="1:1">
      <c r="A2266" s="306"/>
    </row>
    <row r="2267" spans="1:1">
      <c r="A2267" s="306"/>
    </row>
    <row r="2268" spans="1:1">
      <c r="A2268" s="306"/>
    </row>
    <row r="2269" spans="1:1">
      <c r="A2269" s="306"/>
    </row>
    <row r="2270" spans="1:1">
      <c r="A2270" s="306"/>
    </row>
    <row r="2271" spans="1:1">
      <c r="A2271" s="306"/>
    </row>
    <row r="2272" spans="1:1">
      <c r="A2272" s="306"/>
    </row>
    <row r="2273" spans="1:1">
      <c r="A2273" s="306"/>
    </row>
    <row r="2274" spans="1:1">
      <c r="A2274" s="306"/>
    </row>
    <row r="2275" spans="1:1">
      <c r="A2275" s="306"/>
    </row>
    <row r="2276" spans="1:1">
      <c r="A2276" s="306"/>
    </row>
    <row r="2277" spans="1:1">
      <c r="A2277" s="306"/>
    </row>
    <row r="2278" spans="1:1">
      <c r="A2278" s="306"/>
    </row>
    <row r="2279" spans="1:1">
      <c r="A2279" s="306"/>
    </row>
    <row r="2280" spans="1:1">
      <c r="A2280" s="306"/>
    </row>
    <row r="2281" spans="1:1">
      <c r="A2281" s="306"/>
    </row>
    <row r="2282" spans="1:1">
      <c r="A2282" s="306"/>
    </row>
    <row r="2283" spans="1:1">
      <c r="A2283" s="306"/>
    </row>
    <row r="2284" spans="1:1">
      <c r="A2284" s="306"/>
    </row>
    <row r="2285" spans="1:1">
      <c r="A2285" s="306"/>
    </row>
    <row r="2286" spans="1:1">
      <c r="A2286" s="306"/>
    </row>
    <row r="2287" spans="1:1">
      <c r="A2287" s="306"/>
    </row>
    <row r="2288" spans="1:1">
      <c r="A2288" s="306"/>
    </row>
    <row r="2289" spans="1:1">
      <c r="A2289" s="306"/>
    </row>
    <row r="2290" spans="1:1">
      <c r="A2290" s="306"/>
    </row>
    <row r="2291" spans="1:1">
      <c r="A2291" s="306"/>
    </row>
    <row r="2292" spans="1:1">
      <c r="A2292" s="306"/>
    </row>
    <row r="2293" spans="1:1">
      <c r="A2293" s="306"/>
    </row>
    <row r="2294" spans="1:1">
      <c r="A2294" s="306"/>
    </row>
    <row r="2295" spans="1:1">
      <c r="A2295" s="306"/>
    </row>
    <row r="2296" spans="1:1">
      <c r="A2296" s="306"/>
    </row>
    <row r="2297" spans="1:1">
      <c r="A2297" s="306"/>
    </row>
    <row r="2298" spans="1:1">
      <c r="A2298" s="306"/>
    </row>
    <row r="2299" spans="1:1">
      <c r="A2299" s="306"/>
    </row>
    <row r="2300" spans="1:1">
      <c r="A2300" s="306"/>
    </row>
    <row r="2301" spans="1:1">
      <c r="A2301" s="306"/>
    </row>
    <row r="2302" spans="1:1">
      <c r="A2302" s="306"/>
    </row>
    <row r="2303" spans="1:1">
      <c r="A2303" s="306"/>
    </row>
    <row r="2304" spans="1:1">
      <c r="A2304" s="306"/>
    </row>
    <row r="2305" spans="1:1">
      <c r="A2305" s="306"/>
    </row>
    <row r="2306" spans="1:1">
      <c r="A2306" s="306"/>
    </row>
    <row r="2307" spans="1:1">
      <c r="A2307" s="306"/>
    </row>
    <row r="2308" spans="1:1">
      <c r="A2308" s="306"/>
    </row>
    <row r="2309" spans="1:1">
      <c r="A2309" s="306"/>
    </row>
    <row r="2310" spans="1:1">
      <c r="A2310" s="306"/>
    </row>
    <row r="2311" spans="1:1">
      <c r="A2311" s="306"/>
    </row>
    <row r="2312" spans="1:1">
      <c r="A2312" s="306"/>
    </row>
    <row r="2313" spans="1:1">
      <c r="A2313" s="306"/>
    </row>
    <row r="2314" spans="1:1">
      <c r="A2314" s="306"/>
    </row>
    <row r="2315" spans="1:1">
      <c r="A2315" s="306"/>
    </row>
    <row r="2316" spans="1:1">
      <c r="A2316" s="306"/>
    </row>
    <row r="2317" spans="1:1">
      <c r="A2317" s="306"/>
    </row>
    <row r="2318" spans="1:1">
      <c r="A2318" s="306"/>
    </row>
    <row r="2319" spans="1:1">
      <c r="A2319" s="306"/>
    </row>
    <row r="2320" spans="1:1">
      <c r="A2320" s="306"/>
    </row>
    <row r="2321" spans="1:1">
      <c r="A2321" s="306"/>
    </row>
    <row r="2322" spans="1:1">
      <c r="A2322" s="306"/>
    </row>
    <row r="2323" spans="1:1">
      <c r="A2323" s="306"/>
    </row>
    <row r="2324" spans="1:1">
      <c r="A2324" s="306"/>
    </row>
    <row r="2325" spans="1:1">
      <c r="A2325" s="306"/>
    </row>
    <row r="2326" spans="1:1">
      <c r="A2326" s="306"/>
    </row>
    <row r="2327" spans="1:1">
      <c r="A2327" s="306"/>
    </row>
    <row r="2328" spans="1:1">
      <c r="A2328" s="306"/>
    </row>
    <row r="2329" spans="1:1">
      <c r="A2329" s="306"/>
    </row>
    <row r="2330" spans="1:1">
      <c r="A2330" s="306"/>
    </row>
    <row r="2331" spans="1:1">
      <c r="A2331" s="306"/>
    </row>
    <row r="2332" spans="1:1">
      <c r="A2332" s="306"/>
    </row>
    <row r="2333" spans="1:1">
      <c r="A2333" s="306"/>
    </row>
    <row r="2334" spans="1:1">
      <c r="A2334" s="306"/>
    </row>
    <row r="2335" spans="1:1">
      <c r="A2335" s="306"/>
    </row>
    <row r="2336" spans="1:1">
      <c r="A2336" s="306"/>
    </row>
    <row r="2337" spans="1:1">
      <c r="A2337" s="306"/>
    </row>
    <row r="2338" spans="1:1">
      <c r="A2338" s="306"/>
    </row>
    <row r="2339" spans="1:1">
      <c r="A2339" s="306"/>
    </row>
    <row r="2340" spans="1:1">
      <c r="A2340" s="306"/>
    </row>
    <row r="2341" spans="1:1">
      <c r="A2341" s="306"/>
    </row>
    <row r="2342" spans="1:1">
      <c r="A2342" s="306"/>
    </row>
    <row r="2343" spans="1:1">
      <c r="A2343" s="306"/>
    </row>
    <row r="2344" spans="1:1">
      <c r="A2344" s="306"/>
    </row>
    <row r="2345" spans="1:1">
      <c r="A2345" s="306"/>
    </row>
    <row r="2346" spans="1:1">
      <c r="A2346" s="306"/>
    </row>
    <row r="2347" spans="1:1">
      <c r="A2347" s="306"/>
    </row>
    <row r="2348" spans="1:1">
      <c r="A2348" s="306"/>
    </row>
    <row r="2349" spans="1:1">
      <c r="A2349" s="306"/>
    </row>
    <row r="2350" spans="1:1">
      <c r="A2350" s="306"/>
    </row>
    <row r="2351" spans="1:1">
      <c r="A2351" s="306"/>
    </row>
    <row r="2352" spans="1:1">
      <c r="A2352" s="306"/>
    </row>
    <row r="2353" spans="1:1">
      <c r="A2353" s="306"/>
    </row>
    <row r="2354" spans="1:1">
      <c r="A2354" s="306"/>
    </row>
    <row r="2355" spans="1:1">
      <c r="A2355" s="306"/>
    </row>
    <row r="2356" spans="1:1">
      <c r="A2356" s="306"/>
    </row>
    <row r="2357" spans="1:1">
      <c r="A2357" s="306"/>
    </row>
    <row r="2358" spans="1:1">
      <c r="A2358" s="306"/>
    </row>
    <row r="2359" spans="1:1">
      <c r="A2359" s="306"/>
    </row>
    <row r="2360" spans="1:1">
      <c r="A2360" s="306"/>
    </row>
    <row r="2361" spans="1:1">
      <c r="A2361" s="306"/>
    </row>
    <row r="2362" spans="1:1">
      <c r="A2362" s="306"/>
    </row>
    <row r="2363" spans="1:1">
      <c r="A2363" s="306"/>
    </row>
    <row r="2364" spans="1:1">
      <c r="A2364" s="306"/>
    </row>
    <row r="2365" spans="1:1">
      <c r="A2365" s="306"/>
    </row>
    <row r="2366" spans="1:1">
      <c r="A2366" s="306"/>
    </row>
    <row r="2367" spans="1:1">
      <c r="A2367" s="306"/>
    </row>
    <row r="2368" spans="1:1">
      <c r="A2368" s="306"/>
    </row>
    <row r="2369" spans="1:1">
      <c r="A2369" s="306"/>
    </row>
    <row r="2370" spans="1:1">
      <c r="A2370" s="306"/>
    </row>
    <row r="2371" spans="1:1">
      <c r="A2371" s="306"/>
    </row>
    <row r="2372" spans="1:1">
      <c r="A2372" s="306"/>
    </row>
    <row r="2373" spans="1:1">
      <c r="A2373" s="306"/>
    </row>
    <row r="2374" spans="1:1">
      <c r="A2374" s="306"/>
    </row>
    <row r="2375" spans="1:1">
      <c r="A2375" s="306"/>
    </row>
    <row r="2376" spans="1:1">
      <c r="A2376" s="306"/>
    </row>
    <row r="2377" spans="1:1">
      <c r="A2377" s="306"/>
    </row>
    <row r="2378" spans="1:1">
      <c r="A2378" s="306"/>
    </row>
    <row r="2379" spans="1:1">
      <c r="A2379" s="306"/>
    </row>
    <row r="2380" spans="1:1">
      <c r="A2380" s="306"/>
    </row>
    <row r="2381" spans="1:1">
      <c r="A2381" s="306"/>
    </row>
    <row r="2382" spans="1:1">
      <c r="A2382" s="306"/>
    </row>
    <row r="2383" spans="1:1">
      <c r="A2383" s="306"/>
    </row>
    <row r="2384" spans="1:1">
      <c r="A2384" s="306"/>
    </row>
    <row r="2385" spans="1:1">
      <c r="A2385" s="306"/>
    </row>
    <row r="2386" spans="1:1">
      <c r="A2386" s="306"/>
    </row>
    <row r="2387" spans="1:1">
      <c r="A2387" s="306"/>
    </row>
    <row r="2388" spans="1:1">
      <c r="A2388" s="306"/>
    </row>
    <row r="2389" spans="1:1">
      <c r="A2389" s="306"/>
    </row>
    <row r="2390" spans="1:1">
      <c r="A2390" s="306"/>
    </row>
    <row r="2391" spans="1:1">
      <c r="A2391" s="306"/>
    </row>
    <row r="2392" spans="1:1">
      <c r="A2392" s="306"/>
    </row>
    <row r="2393" spans="1:1">
      <c r="A2393" s="306"/>
    </row>
    <row r="2394" spans="1:1">
      <c r="A2394" s="306"/>
    </row>
    <row r="2395" spans="1:1">
      <c r="A2395" s="306"/>
    </row>
    <row r="2396" spans="1:1">
      <c r="A2396" s="306"/>
    </row>
    <row r="2397" spans="1:1">
      <c r="A2397" s="306"/>
    </row>
    <row r="2398" spans="1:1">
      <c r="A2398" s="306"/>
    </row>
    <row r="2399" spans="1:1">
      <c r="A2399" s="306"/>
    </row>
    <row r="2400" spans="1:1">
      <c r="A2400" s="306"/>
    </row>
    <row r="2401" spans="1:1">
      <c r="A2401" s="306"/>
    </row>
    <row r="2402" spans="1:1">
      <c r="A2402" s="306"/>
    </row>
    <row r="2403" spans="1:1">
      <c r="A2403" s="306"/>
    </row>
    <row r="2404" spans="1:1">
      <c r="A2404" s="306"/>
    </row>
    <row r="2405" spans="1:1">
      <c r="A2405" s="306"/>
    </row>
    <row r="2406" spans="1:1">
      <c r="A2406" s="306"/>
    </row>
    <row r="2407" spans="1:1">
      <c r="A2407" s="306"/>
    </row>
    <row r="2408" spans="1:1">
      <c r="A2408" s="306"/>
    </row>
    <row r="2409" spans="1:1">
      <c r="A2409" s="306"/>
    </row>
    <row r="2410" spans="1:1">
      <c r="A2410" s="306"/>
    </row>
    <row r="2411" spans="1:1">
      <c r="A2411" s="306"/>
    </row>
    <row r="2412" spans="1:1">
      <c r="A2412" s="306"/>
    </row>
    <row r="2413" spans="1:1">
      <c r="A2413" s="306"/>
    </row>
    <row r="2414" spans="1:1">
      <c r="A2414" s="306"/>
    </row>
    <row r="2415" spans="1:1">
      <c r="A2415" s="306"/>
    </row>
    <row r="2416" spans="1:1">
      <c r="A2416" s="306"/>
    </row>
    <row r="2417" spans="1:1">
      <c r="A2417" s="306"/>
    </row>
    <row r="2418" spans="1:1">
      <c r="A2418" s="306"/>
    </row>
    <row r="2419" spans="1:1">
      <c r="A2419" s="306"/>
    </row>
    <row r="2420" spans="1:1">
      <c r="A2420" s="306"/>
    </row>
    <row r="2421" spans="1:1">
      <c r="A2421" s="306"/>
    </row>
    <row r="2422" spans="1:1">
      <c r="A2422" s="306"/>
    </row>
    <row r="2423" spans="1:1">
      <c r="A2423" s="306"/>
    </row>
    <row r="2424" spans="1:1">
      <c r="A2424" s="306"/>
    </row>
    <row r="2425" spans="1:1">
      <c r="A2425" s="306"/>
    </row>
    <row r="2426" spans="1:1">
      <c r="A2426" s="306"/>
    </row>
    <row r="2427" spans="1:1">
      <c r="A2427" s="306"/>
    </row>
    <row r="2428" spans="1:1">
      <c r="A2428" s="306"/>
    </row>
    <row r="2429" spans="1:1">
      <c r="A2429" s="306"/>
    </row>
    <row r="2430" spans="1:1">
      <c r="A2430" s="306"/>
    </row>
    <row r="2431" spans="1:1">
      <c r="A2431" s="306"/>
    </row>
    <row r="2432" spans="1:1">
      <c r="A2432" s="306"/>
    </row>
    <row r="2433" spans="1:1">
      <c r="A2433" s="306"/>
    </row>
    <row r="2434" spans="1:1">
      <c r="A2434" s="306"/>
    </row>
    <row r="2435" spans="1:1">
      <c r="A2435" s="306"/>
    </row>
    <row r="2436" spans="1:1">
      <c r="A2436" s="306"/>
    </row>
    <row r="2437" spans="1:1">
      <c r="A2437" s="306"/>
    </row>
    <row r="2438" spans="1:1">
      <c r="A2438" s="306"/>
    </row>
    <row r="2439" spans="1:1">
      <c r="A2439" s="306"/>
    </row>
    <row r="2440" spans="1:1">
      <c r="A2440" s="306"/>
    </row>
    <row r="2441" spans="1:1">
      <c r="A2441" s="306"/>
    </row>
    <row r="2442" spans="1:1">
      <c r="A2442" s="306"/>
    </row>
    <row r="2443" spans="1:1">
      <c r="A2443" s="306"/>
    </row>
    <row r="2444" spans="1:1">
      <c r="A2444" s="306"/>
    </row>
    <row r="2445" spans="1:1">
      <c r="A2445" s="306"/>
    </row>
    <row r="2446" spans="1:1">
      <c r="A2446" s="306"/>
    </row>
    <row r="2447" spans="1:1">
      <c r="A2447" s="306"/>
    </row>
    <row r="2448" spans="1:1">
      <c r="A2448" s="306"/>
    </row>
    <row r="2449" spans="1:1">
      <c r="A2449" s="306"/>
    </row>
    <row r="2450" spans="1:1">
      <c r="A2450" s="306"/>
    </row>
    <row r="2451" spans="1:1">
      <c r="A2451" s="306"/>
    </row>
    <row r="2452" spans="1:1">
      <c r="A2452" s="306"/>
    </row>
    <row r="2453" spans="1:1">
      <c r="A2453" s="306"/>
    </row>
    <row r="2454" spans="1:1">
      <c r="A2454" s="306"/>
    </row>
    <row r="2455" spans="1:1">
      <c r="A2455" s="306"/>
    </row>
    <row r="2456" spans="1:1">
      <c r="A2456" s="306"/>
    </row>
    <row r="2457" spans="1:1">
      <c r="A2457" s="306"/>
    </row>
    <row r="2458" spans="1:1">
      <c r="A2458" s="306"/>
    </row>
    <row r="2459" spans="1:1">
      <c r="A2459" s="306"/>
    </row>
    <row r="2460" spans="1:1">
      <c r="A2460" s="306"/>
    </row>
    <row r="2461" spans="1:1">
      <c r="A2461" s="306"/>
    </row>
    <row r="2462" spans="1:1">
      <c r="A2462" s="306"/>
    </row>
    <row r="2463" spans="1:1">
      <c r="A2463" s="306"/>
    </row>
    <row r="2464" spans="1:1">
      <c r="A2464" s="306"/>
    </row>
    <row r="2465" spans="1:1">
      <c r="A2465" s="306"/>
    </row>
    <row r="2466" spans="1:1">
      <c r="A2466" s="306"/>
    </row>
    <row r="2467" spans="1:1">
      <c r="A2467" s="306"/>
    </row>
    <row r="2468" spans="1:1">
      <c r="A2468" s="306"/>
    </row>
    <row r="2469" spans="1:1">
      <c r="A2469" s="306"/>
    </row>
    <row r="2470" spans="1:1">
      <c r="A2470" s="306"/>
    </row>
    <row r="2471" spans="1:1">
      <c r="A2471" s="306"/>
    </row>
    <row r="2472" spans="1:1">
      <c r="A2472" s="306"/>
    </row>
    <row r="2473" spans="1:1">
      <c r="A2473" s="306"/>
    </row>
    <row r="2474" spans="1:1">
      <c r="A2474" s="306"/>
    </row>
    <row r="2475" spans="1:1">
      <c r="A2475" s="306"/>
    </row>
    <row r="2476" spans="1:1">
      <c r="A2476" s="306"/>
    </row>
    <row r="2477" spans="1:1">
      <c r="A2477" s="306"/>
    </row>
    <row r="2478" spans="1:1">
      <c r="A2478" s="306"/>
    </row>
    <row r="2479" spans="1:1">
      <c r="A2479" s="306"/>
    </row>
    <row r="2480" spans="1:1">
      <c r="A2480" s="306"/>
    </row>
    <row r="2481" spans="1:1">
      <c r="A2481" s="306"/>
    </row>
    <row r="2482" spans="1:1">
      <c r="A2482" s="306"/>
    </row>
    <row r="2483" spans="1:1">
      <c r="A2483" s="306"/>
    </row>
    <row r="2484" spans="1:1">
      <c r="A2484" s="306"/>
    </row>
    <row r="2485" spans="1:1">
      <c r="A2485" s="306"/>
    </row>
    <row r="2486" spans="1:1">
      <c r="A2486" s="306"/>
    </row>
    <row r="2487" spans="1:1">
      <c r="A2487" s="306"/>
    </row>
    <row r="2488" spans="1:1">
      <c r="A2488" s="306"/>
    </row>
    <row r="2489" spans="1:1">
      <c r="A2489" s="306"/>
    </row>
    <row r="2490" spans="1:1">
      <c r="A2490" s="306"/>
    </row>
    <row r="2491" spans="1:1">
      <c r="A2491" s="306"/>
    </row>
    <row r="2492" spans="1:1">
      <c r="A2492" s="306"/>
    </row>
    <row r="2493" spans="1:1">
      <c r="A2493" s="306"/>
    </row>
    <row r="2494" spans="1:1">
      <c r="A2494" s="306"/>
    </row>
    <row r="2495" spans="1:1">
      <c r="A2495" s="306"/>
    </row>
    <row r="2496" spans="1:1">
      <c r="A2496" s="306"/>
    </row>
    <row r="2497" spans="1:1">
      <c r="A2497" s="306"/>
    </row>
    <row r="2498" spans="1:1">
      <c r="A2498" s="306"/>
    </row>
    <row r="2499" spans="1:1">
      <c r="A2499" s="306"/>
    </row>
    <row r="2500" spans="1:1">
      <c r="A2500" s="306"/>
    </row>
    <row r="2501" spans="1:1">
      <c r="A2501" s="306"/>
    </row>
    <row r="2502" spans="1:1">
      <c r="A2502" s="306"/>
    </row>
    <row r="2503" spans="1:1">
      <c r="A2503" s="306"/>
    </row>
    <row r="2504" spans="1:1">
      <c r="A2504" s="306"/>
    </row>
    <row r="2505" spans="1:1">
      <c r="A2505" s="306"/>
    </row>
    <row r="2506" spans="1:1">
      <c r="A2506" s="306"/>
    </row>
    <row r="2507" spans="1:1">
      <c r="A2507" s="306"/>
    </row>
    <row r="2508" spans="1:1">
      <c r="A2508" s="306"/>
    </row>
    <row r="2509" spans="1:1">
      <c r="A2509" s="306"/>
    </row>
    <row r="2510" spans="1:1">
      <c r="A2510" s="306"/>
    </row>
    <row r="2511" spans="1:1">
      <c r="A2511" s="306"/>
    </row>
    <row r="2512" spans="1:1">
      <c r="A2512" s="306"/>
    </row>
    <row r="2513" spans="1:1">
      <c r="A2513" s="306"/>
    </row>
    <row r="2514" spans="1:1">
      <c r="A2514" s="306"/>
    </row>
    <row r="2515" spans="1:1">
      <c r="A2515" s="306"/>
    </row>
    <row r="2516" spans="1:1">
      <c r="A2516" s="306"/>
    </row>
    <row r="2517" spans="1:1">
      <c r="A2517" s="306"/>
    </row>
    <row r="2518" spans="1:1">
      <c r="A2518" s="306"/>
    </row>
    <row r="2519" spans="1:1">
      <c r="A2519" s="306"/>
    </row>
    <row r="2520" spans="1:1">
      <c r="A2520" s="306"/>
    </row>
    <row r="2521" spans="1:1">
      <c r="A2521" s="306"/>
    </row>
    <row r="2522" spans="1:1">
      <c r="A2522" s="306"/>
    </row>
    <row r="2523" spans="1:1">
      <c r="A2523" s="306"/>
    </row>
    <row r="2524" spans="1:1">
      <c r="A2524" s="306"/>
    </row>
    <row r="2525" spans="1:1">
      <c r="A2525" s="306"/>
    </row>
    <row r="2526" spans="1:1">
      <c r="A2526" s="306"/>
    </row>
    <row r="2527" spans="1:1">
      <c r="A2527" s="306"/>
    </row>
    <row r="2528" spans="1:1">
      <c r="A2528" s="306"/>
    </row>
    <row r="2529" spans="1:1">
      <c r="A2529" s="306"/>
    </row>
    <row r="2530" spans="1:1">
      <c r="A2530" s="306"/>
    </row>
    <row r="2531" spans="1:1">
      <c r="A2531" s="306"/>
    </row>
    <row r="2532" spans="1:1">
      <c r="A2532" s="306"/>
    </row>
    <row r="2533" spans="1:1">
      <c r="A2533" s="306"/>
    </row>
    <row r="2534" spans="1:1">
      <c r="A2534" s="306"/>
    </row>
    <row r="2535" spans="1:1">
      <c r="A2535" s="306"/>
    </row>
    <row r="2536" spans="1:1">
      <c r="A2536" s="306"/>
    </row>
    <row r="2537" spans="1:1">
      <c r="A2537" s="306"/>
    </row>
    <row r="2538" spans="1:1">
      <c r="A2538" s="306"/>
    </row>
    <row r="2539" spans="1:1">
      <c r="A2539" s="306"/>
    </row>
    <row r="2540" spans="1:1">
      <c r="A2540" s="306"/>
    </row>
    <row r="2541" spans="1:1">
      <c r="A2541" s="306"/>
    </row>
    <row r="2542" spans="1:1">
      <c r="A2542" s="306"/>
    </row>
    <row r="2543" spans="1:1">
      <c r="A2543" s="306"/>
    </row>
    <row r="2544" spans="1:1">
      <c r="A2544" s="306"/>
    </row>
    <row r="2545" spans="1:1">
      <c r="A2545" s="306"/>
    </row>
    <row r="2546" spans="1:1">
      <c r="A2546" s="306"/>
    </row>
    <row r="2547" spans="1:1">
      <c r="A2547" s="306"/>
    </row>
    <row r="2548" spans="1:1">
      <c r="A2548" s="306"/>
    </row>
    <row r="2549" spans="1:1">
      <c r="A2549" s="306"/>
    </row>
    <row r="2550" spans="1:1">
      <c r="A2550" s="306"/>
    </row>
    <row r="2551" spans="1:1">
      <c r="A2551" s="306"/>
    </row>
    <row r="2552" spans="1:1">
      <c r="A2552" s="306"/>
    </row>
    <row r="2553" spans="1:1">
      <c r="A2553" s="306"/>
    </row>
    <row r="2554" spans="1:1">
      <c r="A2554" s="306"/>
    </row>
    <row r="2555" spans="1:1">
      <c r="A2555" s="306"/>
    </row>
    <row r="2556" spans="1:1">
      <c r="A2556" s="306"/>
    </row>
    <row r="2557" spans="1:1">
      <c r="A2557" s="306"/>
    </row>
    <row r="2558" spans="1:1">
      <c r="A2558" s="306"/>
    </row>
    <row r="2559" spans="1:1">
      <c r="A2559" s="306"/>
    </row>
    <row r="2560" spans="1:1">
      <c r="A2560" s="306"/>
    </row>
    <row r="2561" spans="1:1">
      <c r="A2561" s="306"/>
    </row>
    <row r="2562" spans="1:1">
      <c r="A2562" s="306"/>
    </row>
    <row r="2563" spans="1:1">
      <c r="A2563" s="306"/>
    </row>
    <row r="2564" spans="1:1">
      <c r="A2564" s="306"/>
    </row>
    <row r="2565" spans="1:1">
      <c r="A2565" s="306"/>
    </row>
    <row r="2566" spans="1:1">
      <c r="A2566" s="306"/>
    </row>
    <row r="2567" spans="1:1">
      <c r="A2567" s="306"/>
    </row>
    <row r="2568" spans="1:1">
      <c r="A2568" s="306"/>
    </row>
    <row r="2569" spans="1:1">
      <c r="A2569" s="306"/>
    </row>
    <row r="2570" spans="1:1">
      <c r="A2570" s="306"/>
    </row>
    <row r="2571" spans="1:1">
      <c r="A2571" s="306"/>
    </row>
    <row r="2572" spans="1:1">
      <c r="A2572" s="306"/>
    </row>
    <row r="2573" spans="1:1">
      <c r="A2573" s="306"/>
    </row>
    <row r="2574" spans="1:1">
      <c r="A2574" s="306"/>
    </row>
    <row r="2575" spans="1:1">
      <c r="A2575" s="306"/>
    </row>
    <row r="2576" spans="1:1">
      <c r="A2576" s="306"/>
    </row>
    <row r="2577" spans="1:1">
      <c r="A2577" s="306"/>
    </row>
    <row r="2578" spans="1:1">
      <c r="A2578" s="306"/>
    </row>
    <row r="2579" spans="1:1">
      <c r="A2579" s="306"/>
    </row>
    <row r="2580" spans="1:1">
      <c r="A2580" s="306"/>
    </row>
    <row r="2581" spans="1:1">
      <c r="A2581" s="306"/>
    </row>
    <row r="2582" spans="1:1">
      <c r="A2582" s="306"/>
    </row>
    <row r="2583" spans="1:1">
      <c r="A2583" s="306"/>
    </row>
    <row r="2584" spans="1:1">
      <c r="A2584" s="306"/>
    </row>
    <row r="2585" spans="1:1">
      <c r="A2585" s="306"/>
    </row>
    <row r="2586" spans="1:1">
      <c r="A2586" s="306"/>
    </row>
    <row r="2587" spans="1:1">
      <c r="A2587" s="306"/>
    </row>
    <row r="2588" spans="1:1">
      <c r="A2588" s="306"/>
    </row>
    <row r="2589" spans="1:1">
      <c r="A2589" s="306"/>
    </row>
    <row r="2590" spans="1:1">
      <c r="A2590" s="306"/>
    </row>
    <row r="2591" spans="1:1">
      <c r="A2591" s="306"/>
    </row>
    <row r="2592" spans="1:1">
      <c r="A2592" s="306"/>
    </row>
    <row r="2593" spans="1:1">
      <c r="A2593" s="306"/>
    </row>
    <row r="2594" spans="1:1">
      <c r="A2594" s="306"/>
    </row>
    <row r="2595" spans="1:1">
      <c r="A2595" s="306"/>
    </row>
    <row r="2596" spans="1:1">
      <c r="A2596" s="306"/>
    </row>
    <row r="2597" spans="1:1">
      <c r="A2597" s="306"/>
    </row>
    <row r="2598" spans="1:1">
      <c r="A2598" s="306"/>
    </row>
    <row r="2599" spans="1:1">
      <c r="A2599" s="306"/>
    </row>
    <row r="2600" spans="1:1">
      <c r="A2600" s="306"/>
    </row>
    <row r="2601" spans="1:1">
      <c r="A2601" s="306"/>
    </row>
    <row r="2602" spans="1:1">
      <c r="A2602" s="306"/>
    </row>
    <row r="2603" spans="1:1">
      <c r="A2603" s="306"/>
    </row>
    <row r="2604" spans="1:1">
      <c r="A2604" s="306"/>
    </row>
    <row r="2605" spans="1:1">
      <c r="A2605" s="306"/>
    </row>
    <row r="2606" spans="1:1">
      <c r="A2606" s="306"/>
    </row>
    <row r="2607" spans="1:1">
      <c r="A2607" s="306"/>
    </row>
    <row r="2608" spans="1:1">
      <c r="A2608" s="306"/>
    </row>
    <row r="2609" spans="1:1">
      <c r="A2609" s="306"/>
    </row>
    <row r="2610" spans="1:1">
      <c r="A2610" s="306"/>
    </row>
    <row r="2611" spans="1:1">
      <c r="A2611" s="306"/>
    </row>
    <row r="2612" spans="1:1">
      <c r="A2612" s="306"/>
    </row>
    <row r="2613" spans="1:1">
      <c r="A2613" s="306"/>
    </row>
    <row r="2614" spans="1:1">
      <c r="A2614" s="306"/>
    </row>
    <row r="2615" spans="1:1">
      <c r="A2615" s="306"/>
    </row>
    <row r="2616" spans="1:1">
      <c r="A2616" s="306"/>
    </row>
    <row r="2617" spans="1:1">
      <c r="A2617" s="306"/>
    </row>
    <row r="2618" spans="1:1">
      <c r="A2618" s="306"/>
    </row>
    <row r="2619" spans="1:1">
      <c r="A2619" s="306"/>
    </row>
    <row r="2620" spans="1:1">
      <c r="A2620" s="306"/>
    </row>
    <row r="2621" spans="1:1">
      <c r="A2621" s="306"/>
    </row>
    <row r="2622" spans="1:1">
      <c r="A2622" s="306"/>
    </row>
    <row r="2623" spans="1:1">
      <c r="A2623" s="306"/>
    </row>
    <row r="2624" spans="1:1">
      <c r="A2624" s="306"/>
    </row>
    <row r="2625" spans="1:1">
      <c r="A2625" s="306"/>
    </row>
    <row r="2626" spans="1:1">
      <c r="A2626" s="306"/>
    </row>
    <row r="2627" spans="1:1">
      <c r="A2627" s="306"/>
    </row>
    <row r="2628" spans="1:1">
      <c r="A2628" s="306"/>
    </row>
    <row r="2629" spans="1:1">
      <c r="A2629" s="306"/>
    </row>
    <row r="2630" spans="1:1">
      <c r="A2630" s="306"/>
    </row>
    <row r="2631" spans="1:1">
      <c r="A2631" s="306"/>
    </row>
    <row r="2632" spans="1:1">
      <c r="A2632" s="306"/>
    </row>
    <row r="2633" spans="1:1">
      <c r="A2633" s="306"/>
    </row>
    <row r="2634" spans="1:1">
      <c r="A2634" s="306"/>
    </row>
    <row r="2635" spans="1:1">
      <c r="A2635" s="306"/>
    </row>
    <row r="2636" spans="1:1">
      <c r="A2636" s="306"/>
    </row>
    <row r="2637" spans="1:1">
      <c r="A2637" s="306"/>
    </row>
    <row r="2638" spans="1:1">
      <c r="A2638" s="306"/>
    </row>
    <row r="2639" spans="1:1">
      <c r="A2639" s="306"/>
    </row>
    <row r="2640" spans="1:1">
      <c r="A2640" s="306"/>
    </row>
    <row r="2641" spans="1:1">
      <c r="A2641" s="306"/>
    </row>
    <row r="2642" spans="1:1">
      <c r="A2642" s="306"/>
    </row>
    <row r="2643" spans="1:1">
      <c r="A2643" s="306"/>
    </row>
    <row r="2644" spans="1:1">
      <c r="A2644" s="306"/>
    </row>
    <row r="2645" spans="1:1">
      <c r="A2645" s="306"/>
    </row>
    <row r="2646" spans="1:1">
      <c r="A2646" s="306"/>
    </row>
    <row r="2647" spans="1:1">
      <c r="A2647" s="306"/>
    </row>
    <row r="2648" spans="1:1">
      <c r="A2648" s="306"/>
    </row>
    <row r="2649" spans="1:1">
      <c r="A2649" s="306"/>
    </row>
    <row r="2650" spans="1:1">
      <c r="A2650" s="306"/>
    </row>
    <row r="2651" spans="1:1">
      <c r="A2651" s="306"/>
    </row>
    <row r="2652" spans="1:1">
      <c r="A2652" s="306"/>
    </row>
    <row r="2653" spans="1:1">
      <c r="A2653" s="306"/>
    </row>
    <row r="2654" spans="1:1">
      <c r="A2654" s="306"/>
    </row>
    <row r="2655" spans="1:1">
      <c r="A2655" s="306"/>
    </row>
    <row r="2656" spans="1:1">
      <c r="A2656" s="306"/>
    </row>
    <row r="2657" spans="1:1">
      <c r="A2657" s="306"/>
    </row>
    <row r="2658" spans="1:1">
      <c r="A2658" s="306"/>
    </row>
    <row r="2659" spans="1:1">
      <c r="A2659" s="306"/>
    </row>
    <row r="2660" spans="1:1">
      <c r="A2660" s="306"/>
    </row>
    <row r="2661" spans="1:1">
      <c r="A2661" s="306"/>
    </row>
    <row r="2662" spans="1:1">
      <c r="A2662" s="306"/>
    </row>
    <row r="2663" spans="1:1">
      <c r="A2663" s="306"/>
    </row>
    <row r="2664" spans="1:1">
      <c r="A2664" s="306"/>
    </row>
    <row r="2665" spans="1:1">
      <c r="A2665" s="306"/>
    </row>
    <row r="2666" spans="1:1">
      <c r="A2666" s="306"/>
    </row>
    <row r="2667" spans="1:1">
      <c r="A2667" s="306"/>
    </row>
    <row r="2668" spans="1:1">
      <c r="A2668" s="306"/>
    </row>
    <row r="2669" spans="1:1">
      <c r="A2669" s="306"/>
    </row>
    <row r="2670" spans="1:1">
      <c r="A2670" s="306"/>
    </row>
    <row r="2671" spans="1:1">
      <c r="A2671" s="306"/>
    </row>
    <row r="2672" spans="1:1">
      <c r="A2672" s="306"/>
    </row>
    <row r="2673" spans="1:1">
      <c r="A2673" s="306"/>
    </row>
    <row r="2674" spans="1:1">
      <c r="A2674" s="306"/>
    </row>
    <row r="2675" spans="1:1">
      <c r="A2675" s="306"/>
    </row>
    <row r="2676" spans="1:1">
      <c r="A2676" s="306"/>
    </row>
    <row r="2677" spans="1:1">
      <c r="A2677" s="306"/>
    </row>
    <row r="2678" spans="1:1">
      <c r="A2678" s="306"/>
    </row>
    <row r="2679" spans="1:1">
      <c r="A2679" s="306"/>
    </row>
    <row r="2680" spans="1:1">
      <c r="A2680" s="306"/>
    </row>
    <row r="2681" spans="1:1">
      <c r="A2681" s="306"/>
    </row>
    <row r="2682" spans="1:1">
      <c r="A2682" s="306"/>
    </row>
    <row r="2683" spans="1:1">
      <c r="A2683" s="306"/>
    </row>
    <row r="2684" spans="1:1">
      <c r="A2684" s="306"/>
    </row>
    <row r="2685" spans="1:1">
      <c r="A2685" s="306"/>
    </row>
    <row r="2686" spans="1:1">
      <c r="A2686" s="306"/>
    </row>
    <row r="2687" spans="1:1">
      <c r="A2687" s="306"/>
    </row>
    <row r="2688" spans="1:1">
      <c r="A2688" s="306"/>
    </row>
    <row r="2689" spans="1:1">
      <c r="A2689" s="306"/>
    </row>
    <row r="2690" spans="1:1">
      <c r="A2690" s="306"/>
    </row>
    <row r="2691" spans="1:1">
      <c r="A2691" s="306"/>
    </row>
    <row r="2692" spans="1:1">
      <c r="A2692" s="306"/>
    </row>
    <row r="2693" spans="1:1">
      <c r="A2693" s="306"/>
    </row>
    <row r="2694" spans="1:1">
      <c r="A2694" s="306"/>
    </row>
    <row r="2695" spans="1:1">
      <c r="A2695" s="306"/>
    </row>
    <row r="2696" spans="1:1">
      <c r="A2696" s="306"/>
    </row>
    <row r="2697" spans="1:1">
      <c r="A2697" s="306"/>
    </row>
    <row r="2698" spans="1:1">
      <c r="A2698" s="306"/>
    </row>
    <row r="2699" spans="1:1">
      <c r="A2699" s="306"/>
    </row>
    <row r="2700" spans="1:1">
      <c r="A2700" s="306"/>
    </row>
    <row r="2701" spans="1:1">
      <c r="A2701" s="306"/>
    </row>
    <row r="2702" spans="1:1">
      <c r="A2702" s="306"/>
    </row>
    <row r="2703" spans="1:1">
      <c r="A2703" s="306"/>
    </row>
    <row r="2704" spans="1:1">
      <c r="A2704" s="306"/>
    </row>
    <row r="2705" spans="1:1">
      <c r="A2705" s="306"/>
    </row>
    <row r="2706" spans="1:1">
      <c r="A2706" s="306"/>
    </row>
    <row r="2707" spans="1:1">
      <c r="A2707" s="306"/>
    </row>
    <row r="2708" spans="1:1">
      <c r="A2708" s="306"/>
    </row>
    <row r="2709" spans="1:1">
      <c r="A2709" s="306"/>
    </row>
    <row r="2710" spans="1:1">
      <c r="A2710" s="306"/>
    </row>
    <row r="2711" spans="1:1">
      <c r="A2711" s="306"/>
    </row>
    <row r="2712" spans="1:1">
      <c r="A2712" s="306"/>
    </row>
    <row r="2713" spans="1:1">
      <c r="A2713" s="306"/>
    </row>
    <row r="2714" spans="1:1">
      <c r="A2714" s="306"/>
    </row>
    <row r="2715" spans="1:1">
      <c r="A2715" s="306"/>
    </row>
    <row r="2716" spans="1:1">
      <c r="A2716" s="306"/>
    </row>
    <row r="2717" spans="1:1">
      <c r="A2717" s="306"/>
    </row>
    <row r="2718" spans="1:1">
      <c r="A2718" s="306"/>
    </row>
    <row r="2719" spans="1:1">
      <c r="A2719" s="306"/>
    </row>
    <row r="2720" spans="1:1">
      <c r="A2720" s="306"/>
    </row>
    <row r="2721" spans="1:1">
      <c r="A2721" s="306"/>
    </row>
    <row r="2722" spans="1:1">
      <c r="A2722" s="306"/>
    </row>
    <row r="2723" spans="1:1">
      <c r="A2723" s="306"/>
    </row>
    <row r="2724" spans="1:1">
      <c r="A2724" s="306"/>
    </row>
    <row r="2725" spans="1:1">
      <c r="A2725" s="306"/>
    </row>
    <row r="2726" spans="1:1">
      <c r="A2726" s="306"/>
    </row>
    <row r="2727" spans="1:1">
      <c r="A2727" s="306"/>
    </row>
    <row r="2728" spans="1:1">
      <c r="A2728" s="306"/>
    </row>
    <row r="2729" spans="1:1">
      <c r="A2729" s="306"/>
    </row>
    <row r="2730" spans="1:1">
      <c r="A2730" s="306"/>
    </row>
    <row r="2731" spans="1:1">
      <c r="A2731" s="306"/>
    </row>
    <row r="2732" spans="1:1">
      <c r="A2732" s="306"/>
    </row>
    <row r="2733" spans="1:1">
      <c r="A2733" s="306"/>
    </row>
    <row r="2734" spans="1:1">
      <c r="A2734" s="306"/>
    </row>
    <row r="2735" spans="1:1">
      <c r="A2735" s="306"/>
    </row>
    <row r="2736" spans="1:1">
      <c r="A2736" s="306"/>
    </row>
    <row r="2737" spans="1:1">
      <c r="A2737" s="306"/>
    </row>
    <row r="2738" spans="1:1">
      <c r="A2738" s="306"/>
    </row>
    <row r="2739" spans="1:1">
      <c r="A2739" s="306"/>
    </row>
    <row r="2740" spans="1:1">
      <c r="A2740" s="306"/>
    </row>
    <row r="2741" spans="1:1">
      <c r="A2741" s="306"/>
    </row>
    <row r="2742" spans="1:1">
      <c r="A2742" s="306"/>
    </row>
    <row r="2743" spans="1:1">
      <c r="A2743" s="306"/>
    </row>
    <row r="2744" spans="1:1">
      <c r="A2744" s="306"/>
    </row>
    <row r="2745" spans="1:1">
      <c r="A2745" s="306"/>
    </row>
    <row r="2746" spans="1:1">
      <c r="A2746" s="306"/>
    </row>
    <row r="2747" spans="1:1">
      <c r="A2747" s="306"/>
    </row>
    <row r="2748" spans="1:1">
      <c r="A2748" s="306"/>
    </row>
    <row r="2749" spans="1:1">
      <c r="A2749" s="306"/>
    </row>
    <row r="2750" spans="1:1">
      <c r="A2750" s="306"/>
    </row>
    <row r="2751" spans="1:1">
      <c r="A2751" s="306"/>
    </row>
    <row r="2752" spans="1:1">
      <c r="A2752" s="306"/>
    </row>
    <row r="2753" spans="1:1">
      <c r="A2753" s="306"/>
    </row>
    <row r="2754" spans="1:1">
      <c r="A2754" s="306"/>
    </row>
    <row r="2755" spans="1:1">
      <c r="A2755" s="306"/>
    </row>
    <row r="2756" spans="1:1">
      <c r="A2756" s="306"/>
    </row>
    <row r="2757" spans="1:1">
      <c r="A2757" s="306"/>
    </row>
    <row r="2758" spans="1:1">
      <c r="A2758" s="306"/>
    </row>
    <row r="2759" spans="1:1">
      <c r="A2759" s="306"/>
    </row>
    <row r="2760" spans="1:1">
      <c r="A2760" s="306"/>
    </row>
    <row r="2761" spans="1:1">
      <c r="A2761" s="306"/>
    </row>
    <row r="2762" spans="1:1">
      <c r="A2762" s="306"/>
    </row>
    <row r="2763" spans="1:1">
      <c r="A2763" s="306"/>
    </row>
    <row r="2764" spans="1:1">
      <c r="A2764" s="306"/>
    </row>
    <row r="2765" spans="1:1">
      <c r="A2765" s="306"/>
    </row>
    <row r="2766" spans="1:1">
      <c r="A2766" s="306"/>
    </row>
    <row r="2767" spans="1:1">
      <c r="A2767" s="306"/>
    </row>
    <row r="2768" spans="1:1">
      <c r="A2768" s="306"/>
    </row>
    <row r="2769" spans="1:1">
      <c r="A2769" s="306"/>
    </row>
    <row r="2770" spans="1:1">
      <c r="A2770" s="306"/>
    </row>
    <row r="2771" spans="1:1">
      <c r="A2771" s="306"/>
    </row>
    <row r="2772" spans="1:1">
      <c r="A2772" s="306"/>
    </row>
    <row r="2773" spans="1:1">
      <c r="A2773" s="306"/>
    </row>
    <row r="2774" spans="1:1">
      <c r="A2774" s="306"/>
    </row>
    <row r="2775" spans="1:1">
      <c r="A2775" s="306"/>
    </row>
    <row r="2776" spans="1:1">
      <c r="A2776" s="306"/>
    </row>
    <row r="2777" spans="1:1">
      <c r="A2777" s="306"/>
    </row>
    <row r="2778" spans="1:1">
      <c r="A2778" s="306"/>
    </row>
    <row r="2779" spans="1:1">
      <c r="A2779" s="306"/>
    </row>
    <row r="2780" spans="1:1">
      <c r="A2780" s="306"/>
    </row>
    <row r="2781" spans="1:1">
      <c r="A2781" s="306"/>
    </row>
    <row r="2782" spans="1:1">
      <c r="A2782" s="306"/>
    </row>
    <row r="2783" spans="1:1">
      <c r="A2783" s="306"/>
    </row>
    <row r="2784" spans="1:1">
      <c r="A2784" s="306"/>
    </row>
    <row r="2785" spans="1:1">
      <c r="A2785" s="306"/>
    </row>
    <row r="2786" spans="1:1">
      <c r="A2786" s="306"/>
    </row>
    <row r="2787" spans="1:1">
      <c r="A2787" s="306"/>
    </row>
    <row r="2788" spans="1:1">
      <c r="A2788" s="306"/>
    </row>
    <row r="2789" spans="1:1">
      <c r="A2789" s="306"/>
    </row>
    <row r="2790" spans="1:1">
      <c r="A2790" s="306"/>
    </row>
    <row r="2791" spans="1:1">
      <c r="A2791" s="306"/>
    </row>
    <row r="2792" spans="1:1">
      <c r="A2792" s="306"/>
    </row>
    <row r="2793" spans="1:1">
      <c r="A2793" s="306"/>
    </row>
    <row r="2794" spans="1:1">
      <c r="A2794" s="306"/>
    </row>
    <row r="2795" spans="1:1">
      <c r="A2795" s="306"/>
    </row>
    <row r="2796" spans="1:1">
      <c r="A2796" s="306"/>
    </row>
    <row r="2797" spans="1:1">
      <c r="A2797" s="306"/>
    </row>
    <row r="2798" spans="1:1">
      <c r="A2798" s="306"/>
    </row>
    <row r="2799" spans="1:1">
      <c r="A2799" s="306"/>
    </row>
    <row r="2800" spans="1:1">
      <c r="A2800" s="306"/>
    </row>
    <row r="2801" spans="1:1">
      <c r="A2801" s="306"/>
    </row>
    <row r="2802" spans="1:1">
      <c r="A2802" s="306"/>
    </row>
    <row r="2803" spans="1:1">
      <c r="A2803" s="306"/>
    </row>
    <row r="2804" spans="1:1">
      <c r="A2804" s="306"/>
    </row>
    <row r="2805" spans="1:1">
      <c r="A2805" s="306"/>
    </row>
    <row r="2806" spans="1:1">
      <c r="A2806" s="306"/>
    </row>
    <row r="2807" spans="1:1">
      <c r="A2807" s="306"/>
    </row>
    <row r="2808" spans="1:1">
      <c r="A2808" s="306"/>
    </row>
    <row r="2809" spans="1:1">
      <c r="A2809" s="306"/>
    </row>
    <row r="2810" spans="1:1">
      <c r="A2810" s="306"/>
    </row>
    <row r="2811" spans="1:1">
      <c r="A2811" s="306"/>
    </row>
    <row r="2812" spans="1:1">
      <c r="A2812" s="306"/>
    </row>
    <row r="2813" spans="1:1">
      <c r="A2813" s="306"/>
    </row>
    <row r="2814" spans="1:1">
      <c r="A2814" s="306"/>
    </row>
    <row r="2815" spans="1:1">
      <c r="A2815" s="306"/>
    </row>
    <row r="2816" spans="1:1">
      <c r="A2816" s="306"/>
    </row>
    <row r="2817" spans="1:1">
      <c r="A2817" s="306"/>
    </row>
    <row r="2818" spans="1:1">
      <c r="A2818" s="306"/>
    </row>
    <row r="2819" spans="1:1">
      <c r="A2819" s="306"/>
    </row>
    <row r="2820" spans="1:1">
      <c r="A2820" s="306"/>
    </row>
    <row r="2821" spans="1:1">
      <c r="A2821" s="306"/>
    </row>
    <row r="2822" spans="1:1">
      <c r="A2822" s="306"/>
    </row>
    <row r="2823" spans="1:1">
      <c r="A2823" s="306"/>
    </row>
    <row r="2824" spans="1:1">
      <c r="A2824" s="306"/>
    </row>
    <row r="2825" spans="1:1">
      <c r="A2825" s="306"/>
    </row>
    <row r="2826" spans="1:1">
      <c r="A2826" s="306"/>
    </row>
    <row r="2827" spans="1:1">
      <c r="A2827" s="306"/>
    </row>
    <row r="2828" spans="1:1">
      <c r="A2828" s="306"/>
    </row>
    <row r="2829" spans="1:1">
      <c r="A2829" s="306"/>
    </row>
    <row r="2830" spans="1:1">
      <c r="A2830" s="306"/>
    </row>
    <row r="2831" spans="1:1">
      <c r="A2831" s="306"/>
    </row>
    <row r="2832" spans="1:1">
      <c r="A2832" s="306"/>
    </row>
    <row r="2833" spans="1:1">
      <c r="A2833" s="306"/>
    </row>
    <row r="2834" spans="1:1">
      <c r="A2834" s="306"/>
    </row>
    <row r="2835" spans="1:1">
      <c r="A2835" s="306"/>
    </row>
    <row r="2836" spans="1:1">
      <c r="A2836" s="306"/>
    </row>
    <row r="2837" spans="1:1">
      <c r="A2837" s="306"/>
    </row>
    <row r="2838" spans="1:1">
      <c r="A2838" s="306"/>
    </row>
    <row r="2839" spans="1:1">
      <c r="A2839" s="306"/>
    </row>
    <row r="2840" spans="1:1">
      <c r="A2840" s="306"/>
    </row>
    <row r="2841" spans="1:1">
      <c r="A2841" s="306"/>
    </row>
    <row r="2842" spans="1:1">
      <c r="A2842" s="306"/>
    </row>
    <row r="2843" spans="1:1">
      <c r="A2843" s="306"/>
    </row>
    <row r="2844" spans="1:1">
      <c r="A2844" s="306"/>
    </row>
    <row r="2845" spans="1:1">
      <c r="A2845" s="306"/>
    </row>
    <row r="2846" spans="1:1">
      <c r="A2846" s="306"/>
    </row>
    <row r="2847" spans="1:1">
      <c r="A2847" s="306"/>
    </row>
    <row r="2848" spans="1:1">
      <c r="A2848" s="306"/>
    </row>
    <row r="2849" spans="1:1">
      <c r="A2849" s="306"/>
    </row>
    <row r="2850" spans="1:1">
      <c r="A2850" s="306"/>
    </row>
    <row r="2851" spans="1:1">
      <c r="A2851" s="306"/>
    </row>
    <row r="2852" spans="1:1">
      <c r="A2852" s="306"/>
    </row>
    <row r="2853" spans="1:1">
      <c r="A2853" s="306"/>
    </row>
    <row r="2854" spans="1:1">
      <c r="A2854" s="306"/>
    </row>
    <row r="2855" spans="1:1">
      <c r="A2855" s="306"/>
    </row>
    <row r="2856" spans="1:1">
      <c r="A2856" s="306"/>
    </row>
    <row r="2857" spans="1:1">
      <c r="A2857" s="306"/>
    </row>
    <row r="2858" spans="1:1">
      <c r="A2858" s="306"/>
    </row>
    <row r="2859" spans="1:1">
      <c r="A2859" s="306"/>
    </row>
    <row r="2860" spans="1:1">
      <c r="A2860" s="306"/>
    </row>
    <row r="2861" spans="1:1">
      <c r="A2861" s="306"/>
    </row>
    <row r="2862" spans="1:1">
      <c r="A2862" s="306"/>
    </row>
    <row r="2863" spans="1:1">
      <c r="A2863" s="306"/>
    </row>
    <row r="2864" spans="1:1">
      <c r="A2864" s="306"/>
    </row>
    <row r="2865" spans="1:1">
      <c r="A2865" s="306"/>
    </row>
    <row r="2866" spans="1:1">
      <c r="A2866" s="306"/>
    </row>
    <row r="2867" spans="1:1">
      <c r="A2867" s="306"/>
    </row>
    <row r="2868" spans="1:1">
      <c r="A2868" s="306"/>
    </row>
    <row r="2869" spans="1:1">
      <c r="A2869" s="306"/>
    </row>
    <row r="2870" spans="1:1">
      <c r="A2870" s="306"/>
    </row>
    <row r="2871" spans="1:1">
      <c r="A2871" s="306"/>
    </row>
    <row r="2872" spans="1:1">
      <c r="A2872" s="306"/>
    </row>
    <row r="2873" spans="1:1">
      <c r="A2873" s="306"/>
    </row>
    <row r="2874" spans="1:1">
      <c r="A2874" s="306"/>
    </row>
    <row r="2875" spans="1:1">
      <c r="A2875" s="306"/>
    </row>
    <row r="2876" spans="1:1">
      <c r="A2876" s="306"/>
    </row>
    <row r="2877" spans="1:1">
      <c r="A2877" s="306"/>
    </row>
    <row r="2878" spans="1:1">
      <c r="A2878" s="306"/>
    </row>
    <row r="2879" spans="1:1">
      <c r="A2879" s="306"/>
    </row>
    <row r="2880" spans="1:1">
      <c r="A2880" s="306"/>
    </row>
    <row r="2881" spans="1:1">
      <c r="A2881" s="306"/>
    </row>
    <row r="2882" spans="1:1">
      <c r="A2882" s="306"/>
    </row>
    <row r="2883" spans="1:1">
      <c r="A2883" s="306"/>
    </row>
    <row r="2884" spans="1:1">
      <c r="A2884" s="306"/>
    </row>
    <row r="2885" spans="1:1">
      <c r="A2885" s="306"/>
    </row>
    <row r="2886" spans="1:1">
      <c r="A2886" s="306"/>
    </row>
    <row r="2887" spans="1:1">
      <c r="A2887" s="306"/>
    </row>
    <row r="2888" spans="1:1">
      <c r="A2888" s="306"/>
    </row>
    <row r="2889" spans="1:1">
      <c r="A2889" s="306"/>
    </row>
    <row r="2890" spans="1:1">
      <c r="A2890" s="306"/>
    </row>
    <row r="2891" spans="1:1">
      <c r="A2891" s="306"/>
    </row>
    <row r="2892" spans="1:1">
      <c r="A2892" s="306"/>
    </row>
    <row r="2893" spans="1:1">
      <c r="A2893" s="306"/>
    </row>
    <row r="2894" spans="1:1">
      <c r="A2894" s="306"/>
    </row>
    <row r="2895" spans="1:1">
      <c r="A2895" s="306"/>
    </row>
    <row r="2896" spans="1:1">
      <c r="A2896" s="306"/>
    </row>
    <row r="2897" spans="1:1">
      <c r="A2897" s="306"/>
    </row>
    <row r="2898" spans="1:1">
      <c r="A2898" s="306"/>
    </row>
    <row r="2899" spans="1:1">
      <c r="A2899" s="306"/>
    </row>
    <row r="2900" spans="1:1">
      <c r="A2900" s="306"/>
    </row>
    <row r="2901" spans="1:1">
      <c r="A2901" s="306"/>
    </row>
    <row r="2902" spans="1:1">
      <c r="A2902" s="306"/>
    </row>
    <row r="2903" spans="1:1">
      <c r="A2903" s="306"/>
    </row>
    <row r="2904" spans="1:1">
      <c r="A2904" s="306"/>
    </row>
    <row r="2905" spans="1:1">
      <c r="A2905" s="306"/>
    </row>
    <row r="2906" spans="1:1">
      <c r="A2906" s="306"/>
    </row>
    <row r="2907" spans="1:1">
      <c r="A2907" s="306"/>
    </row>
    <row r="2908" spans="1:1">
      <c r="A2908" s="306"/>
    </row>
    <row r="2909" spans="1:1">
      <c r="A2909" s="306"/>
    </row>
    <row r="2910" spans="1:1">
      <c r="A2910" s="306"/>
    </row>
    <row r="2911" spans="1:1">
      <c r="A2911" s="306"/>
    </row>
    <row r="2912" spans="1:1">
      <c r="A2912" s="306"/>
    </row>
    <row r="2913" spans="1:1">
      <c r="A2913" s="306"/>
    </row>
    <row r="2914" spans="1:1">
      <c r="A2914" s="306"/>
    </row>
    <row r="2915" spans="1:1">
      <c r="A2915" s="306"/>
    </row>
    <row r="2916" spans="1:1">
      <c r="A2916" s="306"/>
    </row>
    <row r="2917" spans="1:1">
      <c r="A2917" s="306"/>
    </row>
    <row r="2918" spans="1:1">
      <c r="A2918" s="306"/>
    </row>
    <row r="2919" spans="1:1">
      <c r="A2919" s="306"/>
    </row>
    <row r="2920" spans="1:1">
      <c r="A2920" s="306"/>
    </row>
    <row r="2921" spans="1:1">
      <c r="A2921" s="306"/>
    </row>
    <row r="2922" spans="1:1">
      <c r="A2922" s="306"/>
    </row>
    <row r="2923" spans="1:1">
      <c r="A2923" s="306"/>
    </row>
    <row r="2924" spans="1:1">
      <c r="A2924" s="306"/>
    </row>
    <row r="2925" spans="1:1">
      <c r="A2925" s="306"/>
    </row>
    <row r="2926" spans="1:1">
      <c r="A2926" s="306"/>
    </row>
    <row r="2927" spans="1:1">
      <c r="A2927" s="306"/>
    </row>
    <row r="2928" spans="1:1">
      <c r="A2928" s="306"/>
    </row>
    <row r="2929" spans="1:1">
      <c r="A2929" s="306"/>
    </row>
    <row r="2930" spans="1:1">
      <c r="A2930" s="306"/>
    </row>
    <row r="2931" spans="1:1">
      <c r="A2931" s="306"/>
    </row>
    <row r="2932" spans="1:1">
      <c r="A2932" s="306"/>
    </row>
    <row r="2933" spans="1:1">
      <c r="A2933" s="306"/>
    </row>
    <row r="2934" spans="1:1">
      <c r="A2934" s="306"/>
    </row>
    <row r="2935" spans="1:1">
      <c r="A2935" s="306"/>
    </row>
    <row r="2936" spans="1:1">
      <c r="A2936" s="306"/>
    </row>
    <row r="2937" spans="1:1">
      <c r="A2937" s="306"/>
    </row>
    <row r="2938" spans="1:1">
      <c r="A2938" s="306"/>
    </row>
    <row r="2939" spans="1:1">
      <c r="A2939" s="306"/>
    </row>
    <row r="2940" spans="1:1">
      <c r="A2940" s="306"/>
    </row>
    <row r="2941" spans="1:1">
      <c r="A2941" s="306"/>
    </row>
    <row r="2942" spans="1:1">
      <c r="A2942" s="306"/>
    </row>
    <row r="2943" spans="1:1">
      <c r="A2943" s="306"/>
    </row>
    <row r="2944" spans="1:1">
      <c r="A2944" s="306"/>
    </row>
    <row r="2945" spans="1:1">
      <c r="A2945" s="306"/>
    </row>
    <row r="2946" spans="1:1">
      <c r="A2946" s="306"/>
    </row>
    <row r="2947" spans="1:1">
      <c r="A2947" s="306"/>
    </row>
    <row r="2948" spans="1:1">
      <c r="A2948" s="306"/>
    </row>
    <row r="2949" spans="1:1">
      <c r="A2949" s="306"/>
    </row>
    <row r="2950" spans="1:1">
      <c r="A2950" s="306"/>
    </row>
    <row r="2951" spans="1:1">
      <c r="A2951" s="306"/>
    </row>
    <row r="2952" spans="1:1">
      <c r="A2952" s="306"/>
    </row>
    <row r="2953" spans="1:1">
      <c r="A2953" s="306"/>
    </row>
    <row r="2954" spans="1:1">
      <c r="A2954" s="306"/>
    </row>
    <row r="2955" spans="1:1">
      <c r="A2955" s="306"/>
    </row>
    <row r="2956" spans="1:1">
      <c r="A2956" s="306"/>
    </row>
    <row r="2957" spans="1:1">
      <c r="A2957" s="306"/>
    </row>
    <row r="2958" spans="1:1">
      <c r="A2958" s="306"/>
    </row>
    <row r="2959" spans="1:1">
      <c r="A2959" s="306"/>
    </row>
    <row r="2960" spans="1:1">
      <c r="A2960" s="306"/>
    </row>
    <row r="2961" spans="1:1">
      <c r="A2961" s="306"/>
    </row>
    <row r="2962" spans="1:1">
      <c r="A2962" s="306"/>
    </row>
    <row r="2963" spans="1:1">
      <c r="A2963" s="306"/>
    </row>
    <row r="2964" spans="1:1">
      <c r="A2964" s="306"/>
    </row>
    <row r="2965" spans="1:1">
      <c r="A2965" s="306"/>
    </row>
    <row r="2966" spans="1:1">
      <c r="A2966" s="306"/>
    </row>
    <row r="2967" spans="1:1">
      <c r="A2967" s="306"/>
    </row>
    <row r="2968" spans="1:1">
      <c r="A2968" s="306"/>
    </row>
    <row r="2969" spans="1:1">
      <c r="A2969" s="306"/>
    </row>
    <row r="2970" spans="1:1">
      <c r="A2970" s="306"/>
    </row>
    <row r="2971" spans="1:1">
      <c r="A2971" s="306"/>
    </row>
    <row r="2972" spans="1:1">
      <c r="A2972" s="306"/>
    </row>
    <row r="2973" spans="1:1">
      <c r="A2973" s="306"/>
    </row>
    <row r="2974" spans="1:1">
      <c r="A2974" s="306"/>
    </row>
    <row r="2975" spans="1:1">
      <c r="A2975" s="306"/>
    </row>
    <row r="2976" spans="1:1">
      <c r="A2976" s="306"/>
    </row>
    <row r="2977" spans="1:1">
      <c r="A2977" s="306"/>
    </row>
    <row r="2978" spans="1:1">
      <c r="A2978" s="306"/>
    </row>
    <row r="2979" spans="1:1">
      <c r="A2979" s="306"/>
    </row>
    <row r="2980" spans="1:1">
      <c r="A2980" s="306"/>
    </row>
    <row r="2981" spans="1:1">
      <c r="A2981" s="306"/>
    </row>
    <row r="2982" spans="1:1">
      <c r="A2982" s="306"/>
    </row>
    <row r="2983" spans="1:1">
      <c r="A2983" s="306"/>
    </row>
    <row r="2984" spans="1:1">
      <c r="A2984" s="306"/>
    </row>
    <row r="2985" spans="1:1">
      <c r="A2985" s="306"/>
    </row>
    <row r="2986" spans="1:1">
      <c r="A2986" s="306"/>
    </row>
    <row r="2987" spans="1:1">
      <c r="A2987" s="306"/>
    </row>
    <row r="2988" spans="1:1">
      <c r="A2988" s="306"/>
    </row>
    <row r="2989" spans="1:1">
      <c r="A2989" s="306"/>
    </row>
    <row r="2990" spans="1:1">
      <c r="A2990" s="306"/>
    </row>
    <row r="2991" spans="1:1">
      <c r="A2991" s="306"/>
    </row>
    <row r="2992" spans="1:1">
      <c r="A2992" s="306"/>
    </row>
    <row r="2993" spans="1:1">
      <c r="A2993" s="306"/>
    </row>
    <row r="2994" spans="1:1">
      <c r="A2994" s="306"/>
    </row>
    <row r="2995" spans="1:1">
      <c r="A2995" s="306"/>
    </row>
    <row r="2996" spans="1:1">
      <c r="A2996" s="306"/>
    </row>
    <row r="2997" spans="1:1">
      <c r="A2997" s="306"/>
    </row>
    <row r="2998" spans="1:1">
      <c r="A2998" s="306"/>
    </row>
    <row r="2999" spans="1:1">
      <c r="A2999" s="306"/>
    </row>
    <row r="3000" spans="1:1">
      <c r="A3000" s="306"/>
    </row>
    <row r="3001" spans="1:1">
      <c r="A3001" s="306"/>
    </row>
    <row r="3002" spans="1:1">
      <c r="A3002" s="306"/>
    </row>
    <row r="3003" spans="1:1">
      <c r="A3003" s="306"/>
    </row>
    <row r="3004" spans="1:1">
      <c r="A3004" s="306"/>
    </row>
    <row r="3005" spans="1:1">
      <c r="A3005" s="306"/>
    </row>
    <row r="3006" spans="1:1">
      <c r="A3006" s="306"/>
    </row>
    <row r="3007" spans="1:1">
      <c r="A3007" s="306"/>
    </row>
    <row r="3008" spans="1:1">
      <c r="A3008" s="306"/>
    </row>
    <row r="3009" spans="1:1">
      <c r="A3009" s="306"/>
    </row>
    <row r="3010" spans="1:1">
      <c r="A3010" s="306"/>
    </row>
    <row r="3011" spans="1:1">
      <c r="A3011" s="306"/>
    </row>
    <row r="3012" spans="1:1">
      <c r="A3012" s="306"/>
    </row>
    <row r="3013" spans="1:1">
      <c r="A3013" s="306"/>
    </row>
    <row r="3014" spans="1:1">
      <c r="A3014" s="306"/>
    </row>
    <row r="3015" spans="1:1">
      <c r="A3015" s="306"/>
    </row>
    <row r="3016" spans="1:1">
      <c r="A3016" s="306"/>
    </row>
    <row r="3017" spans="1:1">
      <c r="A3017" s="306"/>
    </row>
    <row r="3018" spans="1:1">
      <c r="A3018" s="306"/>
    </row>
    <row r="3019" spans="1:1">
      <c r="A3019" s="306"/>
    </row>
    <row r="3020" spans="1:1">
      <c r="A3020" s="306"/>
    </row>
    <row r="3021" spans="1:1">
      <c r="A3021" s="306"/>
    </row>
    <row r="3022" spans="1:1">
      <c r="A3022" s="306"/>
    </row>
    <row r="3023" spans="1:1">
      <c r="A3023" s="306"/>
    </row>
    <row r="3024" spans="1:1">
      <c r="A3024" s="306"/>
    </row>
    <row r="3025" spans="1:1">
      <c r="A3025" s="306"/>
    </row>
    <row r="3026" spans="1:1">
      <c r="A3026" s="306"/>
    </row>
    <row r="3027" spans="1:1">
      <c r="A3027" s="306"/>
    </row>
    <row r="3028" spans="1:1">
      <c r="A3028" s="306"/>
    </row>
    <row r="3029" spans="1:1">
      <c r="A3029" s="306"/>
    </row>
    <row r="3030" spans="1:1">
      <c r="A3030" s="306"/>
    </row>
    <row r="3031" spans="1:1">
      <c r="A3031" s="306"/>
    </row>
    <row r="3032" spans="1:1">
      <c r="A3032" s="306"/>
    </row>
    <row r="3033" spans="1:1">
      <c r="A3033" s="306"/>
    </row>
    <row r="3034" spans="1:1">
      <c r="A3034" s="306"/>
    </row>
    <row r="3035" spans="1:1">
      <c r="A3035" s="306"/>
    </row>
    <row r="3036" spans="1:1">
      <c r="A3036" s="306"/>
    </row>
    <row r="3037" spans="1:1">
      <c r="A3037" s="306"/>
    </row>
    <row r="3038" spans="1:1">
      <c r="A3038" s="306"/>
    </row>
    <row r="3039" spans="1:1">
      <c r="A3039" s="306"/>
    </row>
    <row r="3040" spans="1:1">
      <c r="A3040" s="306"/>
    </row>
    <row r="3041" spans="1:1">
      <c r="A3041" s="306"/>
    </row>
    <row r="3042" spans="1:1">
      <c r="A3042" s="306"/>
    </row>
    <row r="3043" spans="1:1">
      <c r="A3043" s="306"/>
    </row>
    <row r="3044" spans="1:1">
      <c r="A3044" s="306"/>
    </row>
    <row r="3045" spans="1:1">
      <c r="A3045" s="306"/>
    </row>
    <row r="3046" spans="1:1">
      <c r="A3046" s="306"/>
    </row>
    <row r="3047" spans="1:1">
      <c r="A3047" s="306"/>
    </row>
    <row r="3048" spans="1:1">
      <c r="A3048" s="306"/>
    </row>
    <row r="3049" spans="1:1">
      <c r="A3049" s="306"/>
    </row>
    <row r="3050" spans="1:1">
      <c r="A3050" s="306"/>
    </row>
    <row r="3051" spans="1:1">
      <c r="A3051" s="306"/>
    </row>
    <row r="3052" spans="1:1">
      <c r="A3052" s="306"/>
    </row>
    <row r="3053" spans="1:1">
      <c r="A3053" s="306"/>
    </row>
    <row r="3054" spans="1:1">
      <c r="A3054" s="306"/>
    </row>
    <row r="3055" spans="1:1">
      <c r="A3055" s="306"/>
    </row>
    <row r="3056" spans="1:1">
      <c r="A3056" s="306"/>
    </row>
    <row r="3057" spans="1:1">
      <c r="A3057" s="306"/>
    </row>
    <row r="3058" spans="1:1">
      <c r="A3058" s="306"/>
    </row>
    <row r="3059" spans="1:1">
      <c r="A3059" s="306"/>
    </row>
    <row r="3060" spans="1:1">
      <c r="A3060" s="306"/>
    </row>
    <row r="3061" spans="1:1">
      <c r="A3061" s="306"/>
    </row>
    <row r="3062" spans="1:1">
      <c r="A3062" s="306"/>
    </row>
    <row r="3063" spans="1:1">
      <c r="A3063" s="306"/>
    </row>
    <row r="3064" spans="1:1">
      <c r="A3064" s="306"/>
    </row>
    <row r="3065" spans="1:1">
      <c r="A3065" s="306"/>
    </row>
    <row r="3066" spans="1:1">
      <c r="A3066" s="306"/>
    </row>
    <row r="3067" spans="1:1">
      <c r="A3067" s="306"/>
    </row>
    <row r="3068" spans="1:1">
      <c r="A3068" s="306"/>
    </row>
    <row r="3069" spans="1:1">
      <c r="A3069" s="306"/>
    </row>
    <row r="3070" spans="1:1">
      <c r="A3070" s="306"/>
    </row>
    <row r="3071" spans="1:1">
      <c r="A3071" s="306"/>
    </row>
    <row r="3072" spans="1:1">
      <c r="A3072" s="306"/>
    </row>
    <row r="3073" spans="1:1">
      <c r="A3073" s="306"/>
    </row>
    <row r="3074" spans="1:1">
      <c r="A3074" s="306"/>
    </row>
    <row r="3075" spans="1:1">
      <c r="A3075" s="306"/>
    </row>
    <row r="3076" spans="1:1">
      <c r="A3076" s="306"/>
    </row>
    <row r="3077" spans="1:1">
      <c r="A3077" s="306"/>
    </row>
    <row r="3078" spans="1:1">
      <c r="A3078" s="306"/>
    </row>
    <row r="3079" spans="1:1">
      <c r="A3079" s="306"/>
    </row>
    <row r="3080" spans="1:1">
      <c r="A3080" s="306"/>
    </row>
    <row r="3081" spans="1:1">
      <c r="A3081" s="306"/>
    </row>
    <row r="3082" spans="1:1">
      <c r="A3082" s="306"/>
    </row>
    <row r="3083" spans="1:1">
      <c r="A3083" s="306"/>
    </row>
    <row r="3084" spans="1:1">
      <c r="A3084" s="306"/>
    </row>
    <row r="3085" spans="1:1">
      <c r="A3085" s="306"/>
    </row>
    <row r="3086" spans="1:1">
      <c r="A3086" s="306"/>
    </row>
    <row r="3087" spans="1:1">
      <c r="A3087" s="306"/>
    </row>
    <row r="3088" spans="1:1">
      <c r="A3088" s="306"/>
    </row>
    <row r="3089" spans="1:1">
      <c r="A3089" s="306"/>
    </row>
    <row r="3090" spans="1:1">
      <c r="A3090" s="306"/>
    </row>
    <row r="3091" spans="1:1">
      <c r="A3091" s="306"/>
    </row>
    <row r="3092" spans="1:1">
      <c r="A3092" s="306"/>
    </row>
    <row r="3093" spans="1:1">
      <c r="A3093" s="306"/>
    </row>
    <row r="3094" spans="1:1">
      <c r="A3094" s="306"/>
    </row>
    <row r="3095" spans="1:1">
      <c r="A3095" s="306"/>
    </row>
    <row r="3096" spans="1:1">
      <c r="A3096" s="306"/>
    </row>
    <row r="3097" spans="1:1">
      <c r="A3097" s="306"/>
    </row>
    <row r="3098" spans="1:1">
      <c r="A3098" s="306"/>
    </row>
    <row r="3099" spans="1:1">
      <c r="A3099" s="306"/>
    </row>
    <row r="3100" spans="1:1">
      <c r="A3100" s="306"/>
    </row>
    <row r="3101" spans="1:1">
      <c r="A3101" s="306"/>
    </row>
    <row r="3102" spans="1:1">
      <c r="A3102" s="306"/>
    </row>
    <row r="3103" spans="1:1">
      <c r="A3103" s="306"/>
    </row>
    <row r="3104" spans="1:1">
      <c r="A3104" s="306"/>
    </row>
    <row r="3105" spans="1:1">
      <c r="A3105" s="306"/>
    </row>
    <row r="3106" spans="1:1">
      <c r="A3106" s="306"/>
    </row>
    <row r="3107" spans="1:1">
      <c r="A3107" s="306"/>
    </row>
    <row r="3108" spans="1:1">
      <c r="A3108" s="306"/>
    </row>
    <row r="3109" spans="1:1">
      <c r="A3109" s="306"/>
    </row>
    <row r="3110" spans="1:1">
      <c r="A3110" s="306"/>
    </row>
    <row r="3111" spans="1:1">
      <c r="A3111" s="306"/>
    </row>
    <row r="3112" spans="1:1">
      <c r="A3112" s="306"/>
    </row>
    <row r="3113" spans="1:1">
      <c r="A3113" s="306"/>
    </row>
    <row r="3114" spans="1:1">
      <c r="A3114" s="306"/>
    </row>
    <row r="3115" spans="1:1">
      <c r="A3115" s="306"/>
    </row>
    <row r="3116" spans="1:1">
      <c r="A3116" s="306"/>
    </row>
    <row r="3117" spans="1:1">
      <c r="A3117" s="306"/>
    </row>
    <row r="3118" spans="1:1">
      <c r="A3118" s="306"/>
    </row>
    <row r="3119" spans="1:1">
      <c r="A3119" s="306"/>
    </row>
    <row r="3120" spans="1:1">
      <c r="A3120" s="306"/>
    </row>
    <row r="3121" spans="1:1">
      <c r="A3121" s="306"/>
    </row>
    <row r="3122" spans="1:1">
      <c r="A3122" s="306"/>
    </row>
    <row r="3123" spans="1:1">
      <c r="A3123" s="306"/>
    </row>
    <row r="3124" spans="1:1">
      <c r="A3124" s="306"/>
    </row>
    <row r="3125" spans="1:1">
      <c r="A3125" s="306"/>
    </row>
    <row r="3126" spans="1:1">
      <c r="A3126" s="306"/>
    </row>
    <row r="3127" spans="1:1">
      <c r="A3127" s="306"/>
    </row>
    <row r="3128" spans="1:1">
      <c r="A3128" s="306"/>
    </row>
    <row r="3129" spans="1:1">
      <c r="A3129" s="306"/>
    </row>
    <row r="3130" spans="1:1">
      <c r="A3130" s="306"/>
    </row>
    <row r="3131" spans="1:1">
      <c r="A3131" s="306"/>
    </row>
    <row r="3132" spans="1:1">
      <c r="A3132" s="306"/>
    </row>
    <row r="3133" spans="1:1">
      <c r="A3133" s="306"/>
    </row>
    <row r="3134" spans="1:1">
      <c r="A3134" s="306"/>
    </row>
    <row r="3135" spans="1:1">
      <c r="A3135" s="306"/>
    </row>
    <row r="3136" spans="1:1">
      <c r="A3136" s="306"/>
    </row>
    <row r="3137" spans="1:1">
      <c r="A3137" s="306"/>
    </row>
    <row r="3138" spans="1:1">
      <c r="A3138" s="306"/>
    </row>
    <row r="3139" spans="1:1">
      <c r="A3139" s="306"/>
    </row>
    <row r="3140" spans="1:1">
      <c r="A3140" s="306"/>
    </row>
    <row r="3141" spans="1:1">
      <c r="A3141" s="306"/>
    </row>
    <row r="3142" spans="1:1">
      <c r="A3142" s="306"/>
    </row>
    <row r="3143" spans="1:1">
      <c r="A3143" s="306"/>
    </row>
    <row r="3144" spans="1:1">
      <c r="A3144" s="306"/>
    </row>
    <row r="3145" spans="1:1">
      <c r="A3145" s="306"/>
    </row>
    <row r="3146" spans="1:1">
      <c r="A3146" s="306"/>
    </row>
    <row r="3147" spans="1:1">
      <c r="A3147" s="306"/>
    </row>
    <row r="3148" spans="1:1">
      <c r="A3148" s="306"/>
    </row>
    <row r="3149" spans="1:1">
      <c r="A3149" s="306"/>
    </row>
    <row r="3150" spans="1:1">
      <c r="A3150" s="306"/>
    </row>
    <row r="3151" spans="1:1">
      <c r="A3151" s="306"/>
    </row>
    <row r="3152" spans="1:1">
      <c r="A3152" s="306"/>
    </row>
    <row r="3153" spans="1:1">
      <c r="A3153" s="306"/>
    </row>
    <row r="3154" spans="1:1">
      <c r="A3154" s="306"/>
    </row>
    <row r="3155" spans="1:1">
      <c r="A3155" s="306"/>
    </row>
    <row r="3156" spans="1:1">
      <c r="A3156" s="306"/>
    </row>
    <row r="3157" spans="1:1">
      <c r="A3157" s="306"/>
    </row>
    <row r="3158" spans="1:1">
      <c r="A3158" s="306"/>
    </row>
    <row r="3159" spans="1:1">
      <c r="A3159" s="306"/>
    </row>
    <row r="3160" spans="1:1">
      <c r="A3160" s="306"/>
    </row>
    <row r="3161" spans="1:1">
      <c r="A3161" s="306"/>
    </row>
    <row r="3162" spans="1:1">
      <c r="A3162" s="306"/>
    </row>
    <row r="3163" spans="1:1">
      <c r="A3163" s="306"/>
    </row>
    <row r="3164" spans="1:1">
      <c r="A3164" s="306"/>
    </row>
    <row r="3165" spans="1:1">
      <c r="A3165" s="306"/>
    </row>
    <row r="3166" spans="1:1">
      <c r="A3166" s="306"/>
    </row>
    <row r="3167" spans="1:1">
      <c r="A3167" s="306"/>
    </row>
    <row r="3168" spans="1:1">
      <c r="A3168" s="306"/>
    </row>
    <row r="3169" spans="1:1">
      <c r="A3169" s="306"/>
    </row>
    <row r="3170" spans="1:1">
      <c r="A3170" s="306"/>
    </row>
    <row r="3171" spans="1:1">
      <c r="A3171" s="306"/>
    </row>
    <row r="3172" spans="1:1">
      <c r="A3172" s="306"/>
    </row>
    <row r="3173" spans="1:1">
      <c r="A3173" s="306"/>
    </row>
    <row r="3174" spans="1:1">
      <c r="A3174" s="306"/>
    </row>
    <row r="3175" spans="1:1">
      <c r="A3175" s="306"/>
    </row>
    <row r="3176" spans="1:1">
      <c r="A3176" s="306"/>
    </row>
    <row r="3177" spans="1:1">
      <c r="A3177" s="306"/>
    </row>
    <row r="3178" spans="1:1">
      <c r="A3178" s="306"/>
    </row>
    <row r="3179" spans="1:1">
      <c r="A3179" s="306"/>
    </row>
    <row r="3180" spans="1:1">
      <c r="A3180" s="306"/>
    </row>
    <row r="3181" spans="1:1">
      <c r="A3181" s="306"/>
    </row>
    <row r="3182" spans="1:1">
      <c r="A3182" s="306"/>
    </row>
    <row r="3183" spans="1:1">
      <c r="A3183" s="306"/>
    </row>
    <row r="3184" spans="1:1">
      <c r="A3184" s="306"/>
    </row>
    <row r="3185" spans="1:1">
      <c r="A3185" s="306"/>
    </row>
    <row r="3186" spans="1:1">
      <c r="A3186" s="306"/>
    </row>
    <row r="3187" spans="1:1">
      <c r="A3187" s="306"/>
    </row>
    <row r="3188" spans="1:1">
      <c r="A3188" s="306"/>
    </row>
    <row r="3189" spans="1:1">
      <c r="A3189" s="306"/>
    </row>
    <row r="3190" spans="1:1">
      <c r="A3190" s="306"/>
    </row>
    <row r="3191" spans="1:1">
      <c r="A3191" s="306"/>
    </row>
    <row r="3192" spans="1:1">
      <c r="A3192" s="306"/>
    </row>
    <row r="3193" spans="1:1">
      <c r="A3193" s="306"/>
    </row>
    <row r="3194" spans="1:1">
      <c r="A3194" s="306"/>
    </row>
    <row r="3195" spans="1:1">
      <c r="A3195" s="306"/>
    </row>
    <row r="3196" spans="1:1">
      <c r="A3196" s="306"/>
    </row>
    <row r="3197" spans="1:1">
      <c r="A3197" s="306"/>
    </row>
    <row r="3198" spans="1:1">
      <c r="A3198" s="306"/>
    </row>
    <row r="3199" spans="1:1">
      <c r="A3199" s="306"/>
    </row>
    <row r="3200" spans="1:1">
      <c r="A3200" s="306"/>
    </row>
    <row r="3201" spans="1:1">
      <c r="A3201" s="306"/>
    </row>
    <row r="3202" spans="1:1">
      <c r="A3202" s="306"/>
    </row>
    <row r="3203" spans="1:1">
      <c r="A3203" s="306"/>
    </row>
    <row r="3204" spans="1:1">
      <c r="A3204" s="306"/>
    </row>
    <row r="3205" spans="1:1">
      <c r="A3205" s="306"/>
    </row>
    <row r="3206" spans="1:1">
      <c r="A3206" s="306"/>
    </row>
    <row r="3207" spans="1:1">
      <c r="A3207" s="306"/>
    </row>
    <row r="3208" spans="1:1">
      <c r="A3208" s="306"/>
    </row>
    <row r="3209" spans="1:1">
      <c r="A3209" s="306"/>
    </row>
    <row r="3210" spans="1:1">
      <c r="A3210" s="306"/>
    </row>
    <row r="3211" spans="1:1">
      <c r="A3211" s="306"/>
    </row>
    <row r="3212" spans="1:1">
      <c r="A3212" s="306"/>
    </row>
    <row r="3213" spans="1:1">
      <c r="A3213" s="306"/>
    </row>
    <row r="3214" spans="1:1">
      <c r="A3214" s="306"/>
    </row>
    <row r="3215" spans="1:1">
      <c r="A3215" s="306"/>
    </row>
    <row r="3216" spans="1:1">
      <c r="A3216" s="306"/>
    </row>
    <row r="3217" spans="1:1">
      <c r="A3217" s="306"/>
    </row>
    <row r="3218" spans="1:1">
      <c r="A3218" s="306"/>
    </row>
    <row r="3219" spans="1:1">
      <c r="A3219" s="306"/>
    </row>
    <row r="3220" spans="1:1">
      <c r="A3220" s="306"/>
    </row>
    <row r="3221" spans="1:1">
      <c r="A3221" s="306"/>
    </row>
    <row r="3222" spans="1:1">
      <c r="A3222" s="306"/>
    </row>
    <row r="3223" spans="1:1">
      <c r="A3223" s="306"/>
    </row>
    <row r="3224" spans="1:1">
      <c r="A3224" s="306"/>
    </row>
    <row r="3225" spans="1:1">
      <c r="A3225" s="306"/>
    </row>
    <row r="3226" spans="1:1">
      <c r="A3226" s="306"/>
    </row>
    <row r="3227" spans="1:1">
      <c r="A3227" s="306"/>
    </row>
    <row r="3228" spans="1:1">
      <c r="A3228" s="306"/>
    </row>
    <row r="3229" spans="1:1">
      <c r="A3229" s="306"/>
    </row>
    <row r="3230" spans="1:1">
      <c r="A3230" s="306"/>
    </row>
    <row r="3231" spans="1:1">
      <c r="A3231" s="306"/>
    </row>
    <row r="3232" spans="1:1">
      <c r="A3232" s="306"/>
    </row>
    <row r="3233" spans="1:1">
      <c r="A3233" s="306"/>
    </row>
    <row r="3234" spans="1:1">
      <c r="A3234" s="306"/>
    </row>
    <row r="3235" spans="1:1">
      <c r="A3235" s="306"/>
    </row>
    <row r="3236" spans="1:1">
      <c r="A3236" s="306"/>
    </row>
    <row r="3237" spans="1:1">
      <c r="A3237" s="306"/>
    </row>
    <row r="3238" spans="1:1">
      <c r="A3238" s="306"/>
    </row>
    <row r="3239" spans="1:1">
      <c r="A3239" s="306"/>
    </row>
    <row r="3240" spans="1:1">
      <c r="A3240" s="306"/>
    </row>
    <row r="3241" spans="1:1">
      <c r="A3241" s="306"/>
    </row>
    <row r="3242" spans="1:1">
      <c r="A3242" s="306"/>
    </row>
    <row r="3243" spans="1:1">
      <c r="A3243" s="306"/>
    </row>
    <row r="3244" spans="1:1">
      <c r="A3244" s="306"/>
    </row>
    <row r="3245" spans="1:1">
      <c r="A3245" s="306"/>
    </row>
    <row r="3246" spans="1:1">
      <c r="A3246" s="306"/>
    </row>
    <row r="3247" spans="1:1">
      <c r="A3247" s="306"/>
    </row>
    <row r="3248" spans="1:1">
      <c r="A3248" s="306"/>
    </row>
    <row r="3249" spans="1:1">
      <c r="A3249" s="306"/>
    </row>
    <row r="3250" spans="1:1">
      <c r="A3250" s="306"/>
    </row>
    <row r="3251" spans="1:1">
      <c r="A3251" s="306"/>
    </row>
    <row r="3252" spans="1:1">
      <c r="A3252" s="306"/>
    </row>
    <row r="3253" spans="1:1">
      <c r="A3253" s="306"/>
    </row>
    <row r="3254" spans="1:1">
      <c r="A3254" s="306"/>
    </row>
    <row r="3255" spans="1:1">
      <c r="A3255" s="306"/>
    </row>
    <row r="3256" spans="1:1">
      <c r="A3256" s="306"/>
    </row>
    <row r="3257" spans="1:1">
      <c r="A3257" s="306"/>
    </row>
    <row r="3258" spans="1:1">
      <c r="A3258" s="306"/>
    </row>
    <row r="3259" spans="1:1">
      <c r="A3259" s="306"/>
    </row>
    <row r="3260" spans="1:1">
      <c r="A3260" s="306"/>
    </row>
    <row r="3261" spans="1:1">
      <c r="A3261" s="306"/>
    </row>
    <row r="3262" spans="1:1">
      <c r="A3262" s="306"/>
    </row>
    <row r="3263" spans="1:1">
      <c r="A3263" s="306"/>
    </row>
    <row r="3264" spans="1:1">
      <c r="A3264" s="306"/>
    </row>
    <row r="3265" spans="1:1">
      <c r="A3265" s="306"/>
    </row>
    <row r="3266" spans="1:1">
      <c r="A3266" s="306"/>
    </row>
    <row r="3267" spans="1:1">
      <c r="A3267" s="306"/>
    </row>
    <row r="3268" spans="1:1">
      <c r="A3268" s="306"/>
    </row>
    <row r="3269" spans="1:1">
      <c r="A3269" s="306"/>
    </row>
    <row r="3270" spans="1:1">
      <c r="A3270" s="306"/>
    </row>
    <row r="3271" spans="1:1">
      <c r="A3271" s="306"/>
    </row>
    <row r="3272" spans="1:1">
      <c r="A3272" s="306"/>
    </row>
    <row r="3273" spans="1:1">
      <c r="A3273" s="306"/>
    </row>
    <row r="3274" spans="1:1">
      <c r="A3274" s="306"/>
    </row>
    <row r="3275" spans="1:1">
      <c r="A3275" s="306"/>
    </row>
    <row r="3276" spans="1:1">
      <c r="A3276" s="306"/>
    </row>
    <row r="3277" spans="1:1">
      <c r="A3277" s="306"/>
    </row>
    <row r="3278" spans="1:1">
      <c r="A3278" s="306"/>
    </row>
    <row r="3279" spans="1:1">
      <c r="A3279" s="306"/>
    </row>
    <row r="3280" spans="1:1">
      <c r="A3280" s="306"/>
    </row>
    <row r="3281" spans="1:1">
      <c r="A3281" s="306"/>
    </row>
    <row r="3282" spans="1:1">
      <c r="A3282" s="306"/>
    </row>
    <row r="3283" spans="1:1">
      <c r="A3283" s="306"/>
    </row>
    <row r="3284" spans="1:1">
      <c r="A3284" s="306"/>
    </row>
    <row r="3285" spans="1:1">
      <c r="A3285" s="306"/>
    </row>
    <row r="3286" spans="1:1">
      <c r="A3286" s="306"/>
    </row>
    <row r="3287" spans="1:1">
      <c r="A3287" s="306"/>
    </row>
    <row r="3288" spans="1:1">
      <c r="A3288" s="306"/>
    </row>
    <row r="3289" spans="1:1">
      <c r="A3289" s="306"/>
    </row>
    <row r="3290" spans="1:1">
      <c r="A3290" s="306"/>
    </row>
    <row r="3291" spans="1:1">
      <c r="A3291" s="306"/>
    </row>
    <row r="3292" spans="1:1">
      <c r="A3292" s="306"/>
    </row>
    <row r="3293" spans="1:1">
      <c r="A3293" s="306"/>
    </row>
    <row r="3294" spans="1:1">
      <c r="A3294" s="306"/>
    </row>
    <row r="3295" spans="1:1">
      <c r="A3295" s="306"/>
    </row>
    <row r="3296" spans="1:1">
      <c r="A3296" s="306"/>
    </row>
    <row r="3297" spans="1:1">
      <c r="A3297" s="306"/>
    </row>
    <row r="3298" spans="1:1">
      <c r="A3298" s="306"/>
    </row>
    <row r="3299" spans="1:1">
      <c r="A3299" s="306"/>
    </row>
    <row r="3300" spans="1:1">
      <c r="A3300" s="306"/>
    </row>
    <row r="3301" spans="1:1">
      <c r="A3301" s="306"/>
    </row>
    <row r="3302" spans="1:1">
      <c r="A3302" s="306"/>
    </row>
    <row r="3303" spans="1:1">
      <c r="A3303" s="306"/>
    </row>
    <row r="3304" spans="1:1">
      <c r="A3304" s="306"/>
    </row>
    <row r="3305" spans="1:1">
      <c r="A3305" s="306"/>
    </row>
    <row r="3306" spans="1:1">
      <c r="A3306" s="306"/>
    </row>
    <row r="3307" spans="1:1">
      <c r="A3307" s="306"/>
    </row>
    <row r="3308" spans="1:1">
      <c r="A3308" s="306"/>
    </row>
    <row r="3309" spans="1:1">
      <c r="A3309" s="306"/>
    </row>
    <row r="3310" spans="1:1">
      <c r="A3310" s="306"/>
    </row>
    <row r="3311" spans="1:1">
      <c r="A3311" s="306"/>
    </row>
    <row r="3312" spans="1:1">
      <c r="A3312" s="306"/>
    </row>
    <row r="3313" spans="1:1">
      <c r="A3313" s="306"/>
    </row>
    <row r="3314" spans="1:1">
      <c r="A3314" s="306"/>
    </row>
    <row r="3315" spans="1:1">
      <c r="A3315" s="306"/>
    </row>
    <row r="3316" spans="1:1">
      <c r="A3316" s="306"/>
    </row>
    <row r="3317" spans="1:1">
      <c r="A3317" s="306"/>
    </row>
    <row r="3318" spans="1:1">
      <c r="A3318" s="306"/>
    </row>
    <row r="3319" spans="1:1">
      <c r="A3319" s="306"/>
    </row>
    <row r="3320" spans="1:1">
      <c r="A3320" s="306"/>
    </row>
    <row r="3321" spans="1:1">
      <c r="A3321" s="306"/>
    </row>
    <row r="3322" spans="1:1">
      <c r="A3322" s="306"/>
    </row>
    <row r="3323" spans="1:1">
      <c r="A3323" s="306"/>
    </row>
    <row r="3324" spans="1:1">
      <c r="A3324" s="306"/>
    </row>
    <row r="3325" spans="1:1">
      <c r="A3325" s="306"/>
    </row>
    <row r="3326" spans="1:1">
      <c r="A3326" s="306"/>
    </row>
    <row r="3327" spans="1:1">
      <c r="A3327" s="306"/>
    </row>
    <row r="3328" spans="1:1">
      <c r="A3328" s="306"/>
    </row>
    <row r="3329" spans="1:1">
      <c r="A3329" s="306"/>
    </row>
    <row r="3330" spans="1:1">
      <c r="A3330" s="306"/>
    </row>
    <row r="3331" spans="1:1">
      <c r="A3331" s="306"/>
    </row>
    <row r="3332" spans="1:1">
      <c r="A3332" s="306"/>
    </row>
    <row r="3333" spans="1:1">
      <c r="A3333" s="306"/>
    </row>
    <row r="3334" spans="1:1">
      <c r="A3334" s="306"/>
    </row>
    <row r="3335" spans="1:1">
      <c r="A3335" s="306"/>
    </row>
    <row r="3336" spans="1:1">
      <c r="A3336" s="306"/>
    </row>
    <row r="3337" spans="1:1">
      <c r="A3337" s="306"/>
    </row>
    <row r="3338" spans="1:1">
      <c r="A3338" s="306"/>
    </row>
    <row r="3339" spans="1:1">
      <c r="A3339" s="306"/>
    </row>
    <row r="3340" spans="1:1">
      <c r="A3340" s="306"/>
    </row>
    <row r="3341" spans="1:1">
      <c r="A3341" s="306"/>
    </row>
    <row r="3342" spans="1:1">
      <c r="A3342" s="306"/>
    </row>
    <row r="3343" spans="1:1">
      <c r="A3343" s="306"/>
    </row>
    <row r="3344" spans="1:1">
      <c r="A3344" s="306"/>
    </row>
    <row r="3345" spans="1:1">
      <c r="A3345" s="306"/>
    </row>
    <row r="3346" spans="1:1">
      <c r="A3346" s="306"/>
    </row>
    <row r="3347" spans="1:1">
      <c r="A3347" s="306"/>
    </row>
    <row r="3348" spans="1:1">
      <c r="A3348" s="306"/>
    </row>
    <row r="3349" spans="1:1">
      <c r="A3349" s="306"/>
    </row>
    <row r="3350" spans="1:1">
      <c r="A3350" s="306"/>
    </row>
    <row r="3351" spans="1:1">
      <c r="A3351" s="306"/>
    </row>
    <row r="3352" spans="1:1">
      <c r="A3352" s="306"/>
    </row>
    <row r="3353" spans="1:1">
      <c r="A3353" s="306"/>
    </row>
    <row r="3354" spans="1:1">
      <c r="A3354" s="306"/>
    </row>
    <row r="3355" spans="1:1">
      <c r="A3355" s="306"/>
    </row>
    <row r="3356" spans="1:1">
      <c r="A3356" s="306"/>
    </row>
    <row r="3357" spans="1:1">
      <c r="A3357" s="306"/>
    </row>
    <row r="3358" spans="1:1">
      <c r="A3358" s="306"/>
    </row>
    <row r="3359" spans="1:1">
      <c r="A3359" s="306"/>
    </row>
    <row r="3360" spans="1:1">
      <c r="A3360" s="306"/>
    </row>
    <row r="3361" spans="1:1">
      <c r="A3361" s="306"/>
    </row>
    <row r="3362" spans="1:1">
      <c r="A3362" s="306"/>
    </row>
    <row r="3363" spans="1:1">
      <c r="A3363" s="306"/>
    </row>
    <row r="3364" spans="1:1">
      <c r="A3364" s="306"/>
    </row>
    <row r="3365" spans="1:1">
      <c r="A3365" s="306"/>
    </row>
    <row r="3366" spans="1:1">
      <c r="A3366" s="306"/>
    </row>
    <row r="3367" spans="1:1">
      <c r="A3367" s="306"/>
    </row>
    <row r="3368" spans="1:1">
      <c r="A3368" s="306"/>
    </row>
    <row r="3369" spans="1:1">
      <c r="A3369" s="306"/>
    </row>
    <row r="3370" spans="1:1">
      <c r="A3370" s="306"/>
    </row>
    <row r="3371" spans="1:1">
      <c r="A3371" s="306"/>
    </row>
    <row r="3372" spans="1:1">
      <c r="A3372" s="306"/>
    </row>
    <row r="3373" spans="1:1">
      <c r="A3373" s="306"/>
    </row>
    <row r="3374" spans="1:1">
      <c r="A3374" s="306"/>
    </row>
    <row r="3375" spans="1:1">
      <c r="A3375" s="306"/>
    </row>
    <row r="3376" spans="1:1">
      <c r="A3376" s="306"/>
    </row>
    <row r="3377" spans="1:1">
      <c r="A3377" s="306"/>
    </row>
    <row r="3378" spans="1:1">
      <c r="A3378" s="306"/>
    </row>
    <row r="3379" spans="1:1">
      <c r="A3379" s="306"/>
    </row>
    <row r="3380" spans="1:1">
      <c r="A3380" s="306"/>
    </row>
    <row r="3381" spans="1:1">
      <c r="A3381" s="306"/>
    </row>
    <row r="3382" spans="1:1">
      <c r="A3382" s="306"/>
    </row>
    <row r="3383" spans="1:1">
      <c r="A3383" s="306"/>
    </row>
    <row r="3384" spans="1:1">
      <c r="A3384" s="306"/>
    </row>
    <row r="3385" spans="1:1">
      <c r="A3385" s="306"/>
    </row>
    <row r="3386" spans="1:1">
      <c r="A3386" s="306"/>
    </row>
    <row r="3387" spans="1:1">
      <c r="A3387" s="306"/>
    </row>
    <row r="3388" spans="1:1">
      <c r="A3388" s="306"/>
    </row>
    <row r="3389" spans="1:1">
      <c r="A3389" s="306"/>
    </row>
    <row r="3390" spans="1:1">
      <c r="A3390" s="306"/>
    </row>
    <row r="3391" spans="1:1">
      <c r="A3391" s="306"/>
    </row>
    <row r="3392" spans="1:1">
      <c r="A3392" s="306"/>
    </row>
    <row r="3393" spans="1:1">
      <c r="A3393" s="306"/>
    </row>
    <row r="3394" spans="1:1">
      <c r="A3394" s="306"/>
    </row>
    <row r="3395" spans="1:1">
      <c r="A3395" s="306"/>
    </row>
    <row r="3396" spans="1:1">
      <c r="A3396" s="306"/>
    </row>
    <row r="3397" spans="1:1">
      <c r="A3397" s="306"/>
    </row>
    <row r="3398" spans="1:1">
      <c r="A3398" s="306"/>
    </row>
    <row r="3399" spans="1:1">
      <c r="A3399" s="306"/>
    </row>
    <row r="3400" spans="1:1">
      <c r="A3400" s="306"/>
    </row>
    <row r="3401" spans="1:1">
      <c r="A3401" s="306"/>
    </row>
    <row r="3402" spans="1:1">
      <c r="A3402" s="306"/>
    </row>
    <row r="3403" spans="1:1">
      <c r="A3403" s="306"/>
    </row>
    <row r="3404" spans="1:1">
      <c r="A3404" s="306"/>
    </row>
    <row r="3405" spans="1:1">
      <c r="A3405" s="306"/>
    </row>
    <row r="3406" spans="1:1">
      <c r="A3406" s="306"/>
    </row>
    <row r="3407" spans="1:1">
      <c r="A3407" s="306"/>
    </row>
    <row r="3408" spans="1:1">
      <c r="A3408" s="306"/>
    </row>
    <row r="3409" spans="1:1">
      <c r="A3409" s="306"/>
    </row>
    <row r="3410" spans="1:1">
      <c r="A3410" s="306"/>
    </row>
    <row r="3411" spans="1:1">
      <c r="A3411" s="306"/>
    </row>
    <row r="3412" spans="1:1">
      <c r="A3412" s="306"/>
    </row>
    <row r="3413" spans="1:1">
      <c r="A3413" s="306"/>
    </row>
    <row r="3414" spans="1:1">
      <c r="A3414" s="306"/>
    </row>
    <row r="3415" spans="1:1">
      <c r="A3415" s="306"/>
    </row>
    <row r="3416" spans="1:1">
      <c r="A3416" s="306"/>
    </row>
    <row r="3417" spans="1:1">
      <c r="A3417" s="306"/>
    </row>
    <row r="3418" spans="1:1">
      <c r="A3418" s="306"/>
    </row>
    <row r="3419" spans="1:1">
      <c r="A3419" s="306"/>
    </row>
    <row r="3420" spans="1:1">
      <c r="A3420" s="306"/>
    </row>
    <row r="3421" spans="1:1">
      <c r="A3421" s="306"/>
    </row>
    <row r="3422" spans="1:1">
      <c r="A3422" s="306"/>
    </row>
    <row r="3423" spans="1:1">
      <c r="A3423" s="306"/>
    </row>
    <row r="3424" spans="1:1">
      <c r="A3424" s="306"/>
    </row>
    <row r="3425" spans="1:1">
      <c r="A3425" s="306"/>
    </row>
    <row r="3426" spans="1:1">
      <c r="A3426" s="306"/>
    </row>
    <row r="3427" spans="1:1">
      <c r="A3427" s="306"/>
    </row>
    <row r="3428" spans="1:1">
      <c r="A3428" s="306"/>
    </row>
    <row r="3429" spans="1:1">
      <c r="A3429" s="306"/>
    </row>
    <row r="3430" spans="1:1">
      <c r="A3430" s="306"/>
    </row>
    <row r="3431" spans="1:1">
      <c r="A3431" s="306"/>
    </row>
    <row r="3432" spans="1:1">
      <c r="A3432" s="306"/>
    </row>
    <row r="3433" spans="1:1">
      <c r="A3433" s="306"/>
    </row>
    <row r="3434" spans="1:1">
      <c r="A3434" s="306"/>
    </row>
    <row r="3435" spans="1:1">
      <c r="A3435" s="306"/>
    </row>
    <row r="3436" spans="1:1">
      <c r="A3436" s="306"/>
    </row>
    <row r="3437" spans="1:1">
      <c r="A3437" s="306"/>
    </row>
    <row r="3438" spans="1:1">
      <c r="A3438" s="306"/>
    </row>
    <row r="3439" spans="1:1">
      <c r="A3439" s="306"/>
    </row>
    <row r="3440" spans="1:1">
      <c r="A3440" s="306"/>
    </row>
    <row r="3441" spans="1:1">
      <c r="A3441" s="306"/>
    </row>
    <row r="3442" spans="1:1">
      <c r="A3442" s="306"/>
    </row>
    <row r="3443" spans="1:1">
      <c r="A3443" s="306"/>
    </row>
    <row r="3444" spans="1:1">
      <c r="A3444" s="306"/>
    </row>
    <row r="3445" spans="1:1">
      <c r="A3445" s="306"/>
    </row>
    <row r="3446" spans="1:1">
      <c r="A3446" s="306"/>
    </row>
    <row r="3447" spans="1:1">
      <c r="A3447" s="306"/>
    </row>
    <row r="3448" spans="1:1">
      <c r="A3448" s="306"/>
    </row>
    <row r="3449" spans="1:1">
      <c r="A3449" s="306"/>
    </row>
    <row r="3450" spans="1:1">
      <c r="A3450" s="306"/>
    </row>
    <row r="3451" spans="1:1">
      <c r="A3451" s="306"/>
    </row>
    <row r="3452" spans="1:1">
      <c r="A3452" s="306"/>
    </row>
    <row r="3453" spans="1:1">
      <c r="A3453" s="306"/>
    </row>
    <row r="3454" spans="1:1">
      <c r="A3454" s="306"/>
    </row>
    <row r="3455" spans="1:1">
      <c r="A3455" s="306"/>
    </row>
    <row r="3456" spans="1:1">
      <c r="A3456" s="306"/>
    </row>
    <row r="3457" spans="1:1">
      <c r="A3457" s="306"/>
    </row>
    <row r="3458" spans="1:1">
      <c r="A3458" s="306"/>
    </row>
    <row r="3459" spans="1:1">
      <c r="A3459" s="306"/>
    </row>
    <row r="3460" spans="1:1">
      <c r="A3460" s="306"/>
    </row>
    <row r="3461" spans="1:1">
      <c r="A3461" s="306"/>
    </row>
    <row r="3462" spans="1:1">
      <c r="A3462" s="306"/>
    </row>
    <row r="3463" spans="1:1">
      <c r="A3463" s="306"/>
    </row>
    <row r="3464" spans="1:1">
      <c r="A3464" s="306"/>
    </row>
    <row r="3465" spans="1:1">
      <c r="A3465" s="306"/>
    </row>
    <row r="3466" spans="1:1">
      <c r="A3466" s="306"/>
    </row>
    <row r="3467" spans="1:1">
      <c r="A3467" s="306"/>
    </row>
    <row r="3468" spans="1:1">
      <c r="A3468" s="306"/>
    </row>
    <row r="3469" spans="1:1">
      <c r="A3469" s="306"/>
    </row>
    <row r="3470" spans="1:1">
      <c r="A3470" s="306"/>
    </row>
    <row r="3471" spans="1:1">
      <c r="A3471" s="306"/>
    </row>
    <row r="3472" spans="1:1">
      <c r="A3472" s="306"/>
    </row>
    <row r="3473" spans="1:1">
      <c r="A3473" s="306"/>
    </row>
    <row r="3474" spans="1:1">
      <c r="A3474" s="306"/>
    </row>
    <row r="3475" spans="1:1">
      <c r="A3475" s="306"/>
    </row>
    <row r="3476" spans="1:1">
      <c r="A3476" s="306"/>
    </row>
    <row r="3477" spans="1:1">
      <c r="A3477" s="306"/>
    </row>
    <row r="3478" spans="1:1">
      <c r="A3478" s="306"/>
    </row>
    <row r="3479" spans="1:1">
      <c r="A3479" s="306"/>
    </row>
    <row r="3480" spans="1:1">
      <c r="A3480" s="306"/>
    </row>
    <row r="3481" spans="1:1">
      <c r="A3481" s="306"/>
    </row>
    <row r="3482" spans="1:1">
      <c r="A3482" s="306"/>
    </row>
    <row r="3483" spans="1:1">
      <c r="A3483" s="306"/>
    </row>
    <row r="3484" spans="1:1">
      <c r="A3484" s="306"/>
    </row>
    <row r="3485" spans="1:1">
      <c r="A3485" s="306"/>
    </row>
    <row r="3486" spans="1:1">
      <c r="A3486" s="306"/>
    </row>
    <row r="3487" spans="1:1">
      <c r="A3487" s="306"/>
    </row>
    <row r="3488" spans="1:1">
      <c r="A3488" s="306"/>
    </row>
    <row r="3489" spans="1:1">
      <c r="A3489" s="306"/>
    </row>
    <row r="3490" spans="1:1">
      <c r="A3490" s="306"/>
    </row>
    <row r="3491" spans="1:1">
      <c r="A3491" s="306"/>
    </row>
    <row r="3492" spans="1:1">
      <c r="A3492" s="306"/>
    </row>
    <row r="3493" spans="1:1">
      <c r="A3493" s="306"/>
    </row>
    <row r="3494" spans="1:1">
      <c r="A3494" s="306"/>
    </row>
    <row r="3495" spans="1:1">
      <c r="A3495" s="306"/>
    </row>
    <row r="3496" spans="1:1">
      <c r="A3496" s="306"/>
    </row>
    <row r="3497" spans="1:1">
      <c r="A3497" s="306"/>
    </row>
    <row r="3498" spans="1:1">
      <c r="A3498" s="306"/>
    </row>
    <row r="3499" spans="1:1">
      <c r="A3499" s="306"/>
    </row>
    <row r="3500" spans="1:1">
      <c r="A3500" s="306"/>
    </row>
    <row r="3501" spans="1:1">
      <c r="A3501" s="306"/>
    </row>
    <row r="3502" spans="1:1">
      <c r="A3502" s="306"/>
    </row>
    <row r="3503" spans="1:1">
      <c r="A3503" s="306"/>
    </row>
    <row r="3504" spans="1:1">
      <c r="A3504" s="306"/>
    </row>
    <row r="3505" spans="1:1">
      <c r="A3505" s="306"/>
    </row>
    <row r="3506" spans="1:1">
      <c r="A3506" s="306"/>
    </row>
    <row r="3507" spans="1:1">
      <c r="A3507" s="306"/>
    </row>
    <row r="3508" spans="1:1">
      <c r="A3508" s="306"/>
    </row>
    <row r="3509" spans="1:1">
      <c r="A3509" s="306"/>
    </row>
    <row r="3510" spans="1:1">
      <c r="A3510" s="306"/>
    </row>
    <row r="3511" spans="1:1">
      <c r="A3511" s="306"/>
    </row>
    <row r="3512" spans="1:1">
      <c r="A3512" s="306"/>
    </row>
    <row r="3513" spans="1:1">
      <c r="A3513" s="306"/>
    </row>
    <row r="3514" spans="1:1">
      <c r="A3514" s="306"/>
    </row>
    <row r="3515" spans="1:1">
      <c r="A3515" s="306"/>
    </row>
    <row r="3516" spans="1:1">
      <c r="A3516" s="306"/>
    </row>
    <row r="3517" spans="1:1">
      <c r="A3517" s="306"/>
    </row>
    <row r="3518" spans="1:1">
      <c r="A3518" s="306"/>
    </row>
    <row r="3519" spans="1:1">
      <c r="A3519" s="306"/>
    </row>
    <row r="3520" spans="1:1">
      <c r="A3520" s="306"/>
    </row>
    <row r="3521" spans="1:1">
      <c r="A3521" s="306"/>
    </row>
    <row r="3522" spans="1:1">
      <c r="A3522" s="306"/>
    </row>
    <row r="3523" spans="1:1">
      <c r="A3523" s="306"/>
    </row>
    <row r="3524" spans="1:1">
      <c r="A3524" s="306"/>
    </row>
    <row r="3525" spans="1:1">
      <c r="A3525" s="306"/>
    </row>
    <row r="3526" spans="1:1">
      <c r="A3526" s="306"/>
    </row>
    <row r="3527" spans="1:1">
      <c r="A3527" s="306"/>
    </row>
    <row r="3528" spans="1:1">
      <c r="A3528" s="306"/>
    </row>
    <row r="3529" spans="1:1">
      <c r="A3529" s="306"/>
    </row>
    <row r="3530" spans="1:1">
      <c r="A3530" s="306"/>
    </row>
    <row r="3531" spans="1:1">
      <c r="A3531" s="306"/>
    </row>
    <row r="3532" spans="1:1">
      <c r="A3532" s="306"/>
    </row>
    <row r="3533" spans="1:1">
      <c r="A3533" s="306"/>
    </row>
    <row r="3534" spans="1:1">
      <c r="A3534" s="306"/>
    </row>
    <row r="3535" spans="1:1">
      <c r="A3535" s="306"/>
    </row>
    <row r="3536" spans="1:1">
      <c r="A3536" s="306"/>
    </row>
    <row r="3537" spans="1:1">
      <c r="A3537" s="306"/>
    </row>
    <row r="3538" spans="1:1">
      <c r="A3538" s="306"/>
    </row>
    <row r="3539" spans="1:1">
      <c r="A3539" s="306"/>
    </row>
    <row r="3540" spans="1:1">
      <c r="A3540" s="306"/>
    </row>
    <row r="3541" spans="1:1">
      <c r="A3541" s="306"/>
    </row>
    <row r="3542" spans="1:1">
      <c r="A3542" s="306"/>
    </row>
    <row r="3543" spans="1:1">
      <c r="A3543" s="306"/>
    </row>
    <row r="3544" spans="1:1">
      <c r="A3544" s="306"/>
    </row>
    <row r="3545" spans="1:1">
      <c r="A3545" s="306"/>
    </row>
    <row r="3546" spans="1:1">
      <c r="A3546" s="306"/>
    </row>
    <row r="3547" spans="1:1">
      <c r="A3547" s="306"/>
    </row>
    <row r="3548" spans="1:1">
      <c r="A3548" s="306"/>
    </row>
    <row r="3549" spans="1:1">
      <c r="A3549" s="306"/>
    </row>
    <row r="3550" spans="1:1">
      <c r="A3550" s="306"/>
    </row>
    <row r="3551" spans="1:1">
      <c r="A3551" s="306"/>
    </row>
    <row r="3552" spans="1:1">
      <c r="A3552" s="306"/>
    </row>
    <row r="3553" spans="1:1">
      <c r="A3553" s="306"/>
    </row>
    <row r="3554" spans="1:1">
      <c r="A3554" s="306"/>
    </row>
    <row r="3555" spans="1:1">
      <c r="A3555" s="306"/>
    </row>
    <row r="3556" spans="1:1">
      <c r="A3556" s="306"/>
    </row>
    <row r="3557" spans="1:1">
      <c r="A3557" s="306"/>
    </row>
    <row r="3558" spans="1:1">
      <c r="A3558" s="306"/>
    </row>
    <row r="3559" spans="1:1">
      <c r="A3559" s="306"/>
    </row>
    <row r="3560" spans="1:1">
      <c r="A3560" s="306"/>
    </row>
    <row r="3561" spans="1:1">
      <c r="A3561" s="306"/>
    </row>
    <row r="3562" spans="1:1">
      <c r="A3562" s="306"/>
    </row>
    <row r="3563" spans="1:1">
      <c r="A3563" s="306"/>
    </row>
    <row r="3564" spans="1:1">
      <c r="A3564" s="306"/>
    </row>
    <row r="3565" spans="1:1">
      <c r="A3565" s="306"/>
    </row>
    <row r="3566" spans="1:1">
      <c r="A3566" s="306"/>
    </row>
    <row r="3567" spans="1:1">
      <c r="A3567" s="306"/>
    </row>
    <row r="3568" spans="1:1">
      <c r="A3568" s="306"/>
    </row>
    <row r="3569" spans="1:1">
      <c r="A3569" s="306"/>
    </row>
    <row r="3570" spans="1:1">
      <c r="A3570" s="306"/>
    </row>
    <row r="3571" spans="1:1">
      <c r="A3571" s="306"/>
    </row>
    <row r="3572" spans="1:1">
      <c r="A3572" s="306"/>
    </row>
    <row r="3573" spans="1:1">
      <c r="A3573" s="306"/>
    </row>
    <row r="3574" spans="1:1">
      <c r="A3574" s="306"/>
    </row>
    <row r="3575" spans="1:1">
      <c r="A3575" s="306"/>
    </row>
    <row r="3576" spans="1:1">
      <c r="A3576" s="306"/>
    </row>
    <row r="3577" spans="1:1">
      <c r="A3577" s="306"/>
    </row>
    <row r="3578" spans="1:1">
      <c r="A3578" s="306"/>
    </row>
    <row r="3579" spans="1:1">
      <c r="A3579" s="306"/>
    </row>
    <row r="3580" spans="1:1">
      <c r="A3580" s="306"/>
    </row>
    <row r="3581" spans="1:1">
      <c r="A3581" s="306"/>
    </row>
    <row r="3582" spans="1:1">
      <c r="A3582" s="306"/>
    </row>
    <row r="3583" spans="1:1">
      <c r="A3583" s="306"/>
    </row>
    <row r="3584" spans="1:1">
      <c r="A3584" s="306"/>
    </row>
    <row r="3585" spans="1:1">
      <c r="A3585" s="306"/>
    </row>
    <row r="3586" spans="1:1">
      <c r="A3586" s="306"/>
    </row>
    <row r="3587" spans="1:1">
      <c r="A3587" s="306"/>
    </row>
    <row r="3588" spans="1:1">
      <c r="A3588" s="306"/>
    </row>
    <row r="3589" spans="1:1">
      <c r="A3589" s="306"/>
    </row>
    <row r="3590" spans="1:1">
      <c r="A3590" s="306"/>
    </row>
    <row r="3591" spans="1:1">
      <c r="A3591" s="306"/>
    </row>
    <row r="3592" spans="1:1">
      <c r="A3592" s="306"/>
    </row>
    <row r="3593" spans="1:1">
      <c r="A3593" s="306"/>
    </row>
    <row r="3594" spans="1:1">
      <c r="A3594" s="306"/>
    </row>
    <row r="3595" spans="1:1">
      <c r="A3595" s="306"/>
    </row>
    <row r="3596" spans="1:1">
      <c r="A3596" s="306"/>
    </row>
    <row r="3597" spans="1:1">
      <c r="A3597" s="306"/>
    </row>
    <row r="3598" spans="1:1">
      <c r="A3598" s="306"/>
    </row>
    <row r="3599" spans="1:1">
      <c r="A3599" s="306"/>
    </row>
    <row r="3600" spans="1:1">
      <c r="A3600" s="306"/>
    </row>
    <row r="3601" spans="1:1">
      <c r="A3601" s="306"/>
    </row>
    <row r="3602" spans="1:1">
      <c r="A3602" s="306"/>
    </row>
    <row r="3603" spans="1:1">
      <c r="A3603" s="306"/>
    </row>
    <row r="3604" spans="1:1">
      <c r="A3604" s="306"/>
    </row>
    <row r="3605" spans="1:1">
      <c r="A3605" s="306"/>
    </row>
    <row r="3606" spans="1:1">
      <c r="A3606" s="306"/>
    </row>
    <row r="3607" spans="1:1">
      <c r="A3607" s="306"/>
    </row>
    <row r="3608" spans="1:1">
      <c r="A3608" s="306"/>
    </row>
    <row r="3609" spans="1:1">
      <c r="A3609" s="306"/>
    </row>
    <row r="3610" spans="1:1">
      <c r="A3610" s="306"/>
    </row>
    <row r="3611" spans="1:1">
      <c r="A3611" s="306"/>
    </row>
    <row r="3612" spans="1:1">
      <c r="A3612" s="306"/>
    </row>
    <row r="3613" spans="1:1">
      <c r="A3613" s="306"/>
    </row>
    <row r="3614" spans="1:1">
      <c r="A3614" s="306"/>
    </row>
    <row r="3615" spans="1:1">
      <c r="A3615" s="306"/>
    </row>
    <row r="3616" spans="1:1">
      <c r="A3616" s="306"/>
    </row>
    <row r="3617" spans="1:1">
      <c r="A3617" s="306"/>
    </row>
    <row r="3618" spans="1:1">
      <c r="A3618" s="306"/>
    </row>
    <row r="3619" spans="1:1">
      <c r="A3619" s="306"/>
    </row>
    <row r="3620" spans="1:1">
      <c r="A3620" s="306"/>
    </row>
    <row r="3621" spans="1:1">
      <c r="A3621" s="306"/>
    </row>
    <row r="3622" spans="1:1">
      <c r="A3622" s="306"/>
    </row>
    <row r="3623" spans="1:1">
      <c r="A3623" s="306"/>
    </row>
    <row r="3624" spans="1:1">
      <c r="A3624" s="306"/>
    </row>
    <row r="3625" spans="1:1">
      <c r="A3625" s="306"/>
    </row>
    <row r="3626" spans="1:1">
      <c r="A3626" s="306"/>
    </row>
    <row r="3627" spans="1:1">
      <c r="A3627" s="306"/>
    </row>
    <row r="3628" spans="1:1">
      <c r="A3628" s="306"/>
    </row>
    <row r="3629" spans="1:1">
      <c r="A3629" s="306"/>
    </row>
    <row r="3630" spans="1:1">
      <c r="A3630" s="306"/>
    </row>
    <row r="3631" spans="1:1">
      <c r="A3631" s="306"/>
    </row>
    <row r="3632" spans="1:1">
      <c r="A3632" s="306"/>
    </row>
    <row r="3633" spans="1:1">
      <c r="A3633" s="306"/>
    </row>
    <row r="3634" spans="1:1">
      <c r="A3634" s="306"/>
    </row>
    <row r="3635" spans="1:1">
      <c r="A3635" s="306"/>
    </row>
    <row r="3636" spans="1:1">
      <c r="A3636" s="306"/>
    </row>
    <row r="3637" spans="1:1">
      <c r="A3637" s="306"/>
    </row>
    <row r="3638" spans="1:1">
      <c r="A3638" s="306"/>
    </row>
    <row r="3639" spans="1:1">
      <c r="A3639" s="306"/>
    </row>
    <row r="3640" spans="1:1">
      <c r="A3640" s="306"/>
    </row>
    <row r="3641" spans="1:1">
      <c r="A3641" s="306"/>
    </row>
    <row r="3642" spans="1:1">
      <c r="A3642" s="306"/>
    </row>
    <row r="3643" spans="1:1">
      <c r="A3643" s="306"/>
    </row>
    <row r="3644" spans="1:1">
      <c r="A3644" s="306"/>
    </row>
    <row r="3645" spans="1:1">
      <c r="A3645" s="306"/>
    </row>
    <row r="3646" spans="1:1">
      <c r="A3646" s="306"/>
    </row>
    <row r="3647" spans="1:1">
      <c r="A3647" s="306"/>
    </row>
    <row r="3648" spans="1:1">
      <c r="A3648" s="306"/>
    </row>
    <row r="3649" spans="1:1">
      <c r="A3649" s="306"/>
    </row>
    <row r="3650" spans="1:1">
      <c r="A3650" s="306"/>
    </row>
    <row r="3651" spans="1:1">
      <c r="A3651" s="306"/>
    </row>
    <row r="3652" spans="1:1">
      <c r="A3652" s="306"/>
    </row>
    <row r="3653" spans="1:1">
      <c r="A3653" s="306"/>
    </row>
    <row r="3654" spans="1:1">
      <c r="A3654" s="306"/>
    </row>
    <row r="3655" spans="1:1">
      <c r="A3655" s="306"/>
    </row>
    <row r="3656" spans="1:1">
      <c r="A3656" s="306"/>
    </row>
    <row r="3657" spans="1:1">
      <c r="A3657" s="306"/>
    </row>
    <row r="3658" spans="1:1">
      <c r="A3658" s="306"/>
    </row>
    <row r="3659" spans="1:1">
      <c r="A3659" s="306"/>
    </row>
    <row r="3660" spans="1:1">
      <c r="A3660" s="306"/>
    </row>
    <row r="3661" spans="1:1">
      <c r="A3661" s="306"/>
    </row>
    <row r="3662" spans="1:1">
      <c r="A3662" s="306"/>
    </row>
    <row r="3663" spans="1:1">
      <c r="A3663" s="306"/>
    </row>
    <row r="3664" spans="1:1">
      <c r="A3664" s="306"/>
    </row>
    <row r="3665" spans="1:1">
      <c r="A3665" s="306"/>
    </row>
    <row r="3666" spans="1:1">
      <c r="A3666" s="306"/>
    </row>
    <row r="3667" spans="1:1">
      <c r="A3667" s="306"/>
    </row>
    <row r="3668" spans="1:1">
      <c r="A3668" s="306"/>
    </row>
    <row r="3669" spans="1:1">
      <c r="A3669" s="306"/>
    </row>
    <row r="3670" spans="1:1">
      <c r="A3670" s="306"/>
    </row>
    <row r="3671" spans="1:1">
      <c r="A3671" s="306"/>
    </row>
    <row r="3672" spans="1:1">
      <c r="A3672" s="306"/>
    </row>
    <row r="3673" spans="1:1">
      <c r="A3673" s="306"/>
    </row>
    <row r="3674" spans="1:1">
      <c r="A3674" s="306"/>
    </row>
    <row r="3675" spans="1:1">
      <c r="A3675" s="306"/>
    </row>
    <row r="3676" spans="1:1">
      <c r="A3676" s="306"/>
    </row>
    <row r="3677" spans="1:1">
      <c r="A3677" s="306"/>
    </row>
    <row r="3678" spans="1:1">
      <c r="A3678" s="306"/>
    </row>
    <row r="3679" spans="1:1">
      <c r="A3679" s="306"/>
    </row>
    <row r="3680" spans="1:1">
      <c r="A3680" s="306"/>
    </row>
    <row r="3681" spans="1:1">
      <c r="A3681" s="306"/>
    </row>
    <row r="3682" spans="1:1">
      <c r="A3682" s="306"/>
    </row>
    <row r="3683" spans="1:1">
      <c r="A3683" s="306"/>
    </row>
    <row r="3684" spans="1:1">
      <c r="A3684" s="306"/>
    </row>
    <row r="3685" spans="1:1">
      <c r="A3685" s="306"/>
    </row>
    <row r="3686" spans="1:1">
      <c r="A3686" s="306"/>
    </row>
    <row r="3687" spans="1:1">
      <c r="A3687" s="306"/>
    </row>
    <row r="3688" spans="1:1">
      <c r="A3688" s="306"/>
    </row>
    <row r="3689" spans="1:1">
      <c r="A3689" s="306"/>
    </row>
    <row r="3690" spans="1:1">
      <c r="A3690" s="306"/>
    </row>
    <row r="3691" spans="1:1">
      <c r="A3691" s="306"/>
    </row>
    <row r="3692" spans="1:1">
      <c r="A3692" s="306"/>
    </row>
    <row r="3693" spans="1:1">
      <c r="A3693" s="306"/>
    </row>
    <row r="3694" spans="1:1">
      <c r="A3694" s="306"/>
    </row>
    <row r="3695" spans="1:1">
      <c r="A3695" s="306"/>
    </row>
    <row r="3696" spans="1:1">
      <c r="A3696" s="306"/>
    </row>
    <row r="3697" spans="1:1">
      <c r="A3697" s="306"/>
    </row>
    <row r="3698" spans="1:1">
      <c r="A3698" s="306"/>
    </row>
    <row r="3699" spans="1:1">
      <c r="A3699" s="306"/>
    </row>
    <row r="3700" spans="1:1">
      <c r="A3700" s="306"/>
    </row>
    <row r="3701" spans="1:1">
      <c r="A3701" s="306"/>
    </row>
    <row r="3702" spans="1:1">
      <c r="A3702" s="306"/>
    </row>
    <row r="3703" spans="1:1">
      <c r="A3703" s="306"/>
    </row>
    <row r="3704" spans="1:1">
      <c r="A3704" s="306"/>
    </row>
    <row r="3705" spans="1:1">
      <c r="A3705" s="306"/>
    </row>
    <row r="3706" spans="1:1">
      <c r="A3706" s="306"/>
    </row>
    <row r="3707" spans="1:1">
      <c r="A3707" s="306"/>
    </row>
    <row r="3708" spans="1:1">
      <c r="A3708" s="306"/>
    </row>
    <row r="3709" spans="1:1">
      <c r="A3709" s="306"/>
    </row>
    <row r="3710" spans="1:1">
      <c r="A3710" s="306"/>
    </row>
    <row r="3711" spans="1:1">
      <c r="A3711" s="306"/>
    </row>
    <row r="3712" spans="1:1">
      <c r="A3712" s="306"/>
    </row>
    <row r="3713" spans="1:1">
      <c r="A3713" s="306"/>
    </row>
    <row r="3714" spans="1:1">
      <c r="A3714" s="306"/>
    </row>
    <row r="3715" spans="1:1">
      <c r="A3715" s="306"/>
    </row>
    <row r="3716" spans="1:1">
      <c r="A3716" s="306"/>
    </row>
    <row r="3717" spans="1:1">
      <c r="A3717" s="306"/>
    </row>
    <row r="3718" spans="1:1">
      <c r="A3718" s="306"/>
    </row>
    <row r="3719" spans="1:1">
      <c r="A3719" s="306"/>
    </row>
    <row r="3720" spans="1:1">
      <c r="A3720" s="306"/>
    </row>
    <row r="3721" spans="1:1">
      <c r="A3721" s="306"/>
    </row>
    <row r="3722" spans="1:1">
      <c r="A3722" s="306"/>
    </row>
    <row r="3723" spans="1:1">
      <c r="A3723" s="306"/>
    </row>
    <row r="3724" spans="1:1">
      <c r="A3724" s="306"/>
    </row>
    <row r="3725" spans="1:1">
      <c r="A3725" s="306"/>
    </row>
    <row r="3726" spans="1:1">
      <c r="A3726" s="306"/>
    </row>
    <row r="3727" spans="1:1">
      <c r="A3727" s="306"/>
    </row>
    <row r="3728" spans="1:1">
      <c r="A3728" s="306"/>
    </row>
    <row r="3729" spans="1:1">
      <c r="A3729" s="306"/>
    </row>
    <row r="3730" spans="1:1">
      <c r="A3730" s="306"/>
    </row>
    <row r="3731" spans="1:1">
      <c r="A3731" s="306"/>
    </row>
    <row r="3732" spans="1:1">
      <c r="A3732" s="306"/>
    </row>
    <row r="3733" spans="1:1">
      <c r="A3733" s="306"/>
    </row>
    <row r="3734" spans="1:1">
      <c r="A3734" s="306"/>
    </row>
    <row r="3735" spans="1:1">
      <c r="A3735" s="306"/>
    </row>
    <row r="3736" spans="1:1">
      <c r="A3736" s="306"/>
    </row>
    <row r="3737" spans="1:1">
      <c r="A3737" s="306"/>
    </row>
    <row r="3738" spans="1:1">
      <c r="A3738" s="306"/>
    </row>
    <row r="3739" spans="1:1">
      <c r="A3739" s="306"/>
    </row>
    <row r="3740" spans="1:1">
      <c r="A3740" s="306"/>
    </row>
    <row r="3741" spans="1:1">
      <c r="A3741" s="306"/>
    </row>
    <row r="3742" spans="1:1">
      <c r="A3742" s="306"/>
    </row>
    <row r="3743" spans="1:1">
      <c r="A3743" s="306"/>
    </row>
    <row r="3744" spans="1:1">
      <c r="A3744" s="306"/>
    </row>
    <row r="3745" spans="1:1">
      <c r="A3745" s="306"/>
    </row>
    <row r="3746" spans="1:1">
      <c r="A3746" s="306"/>
    </row>
    <row r="3747" spans="1:1">
      <c r="A3747" s="306"/>
    </row>
    <row r="3748" spans="1:1">
      <c r="A3748" s="306"/>
    </row>
    <row r="3749" spans="1:1">
      <c r="A3749" s="306"/>
    </row>
    <row r="3750" spans="1:1">
      <c r="A3750" s="306"/>
    </row>
    <row r="3751" spans="1:1">
      <c r="A3751" s="306"/>
    </row>
    <row r="3752" spans="1:1">
      <c r="A3752" s="306"/>
    </row>
    <row r="3753" spans="1:1">
      <c r="A3753" s="306"/>
    </row>
    <row r="3754" spans="1:1">
      <c r="A3754" s="306"/>
    </row>
    <row r="3755" spans="1:1">
      <c r="A3755" s="306"/>
    </row>
    <row r="3756" spans="1:1">
      <c r="A3756" s="306"/>
    </row>
    <row r="3757" spans="1:1">
      <c r="A3757" s="306"/>
    </row>
    <row r="3758" spans="1:1">
      <c r="A3758" s="306"/>
    </row>
    <row r="3759" spans="1:1">
      <c r="A3759" s="306"/>
    </row>
    <row r="3760" spans="1:1">
      <c r="A3760" s="306"/>
    </row>
    <row r="3761" spans="1:1">
      <c r="A3761" s="306"/>
    </row>
    <row r="3762" spans="1:1">
      <c r="A3762" s="306"/>
    </row>
    <row r="3763" spans="1:1">
      <c r="A3763" s="306"/>
    </row>
    <row r="3764" spans="1:1">
      <c r="A3764" s="306"/>
    </row>
    <row r="3765" spans="1:1">
      <c r="A3765" s="306"/>
    </row>
    <row r="3766" spans="1:1">
      <c r="A3766" s="306"/>
    </row>
    <row r="3767" spans="1:1">
      <c r="A3767" s="306"/>
    </row>
    <row r="3768" spans="1:1">
      <c r="A3768" s="306"/>
    </row>
    <row r="3769" spans="1:1">
      <c r="A3769" s="306"/>
    </row>
    <row r="3770" spans="1:1">
      <c r="A3770" s="306"/>
    </row>
    <row r="3771" spans="1:1">
      <c r="A3771" s="306"/>
    </row>
    <row r="3772" spans="1:1">
      <c r="A3772" s="306"/>
    </row>
    <row r="3773" spans="1:1">
      <c r="A3773" s="306"/>
    </row>
    <row r="3774" spans="1:1">
      <c r="A3774" s="306"/>
    </row>
    <row r="3775" spans="1:1">
      <c r="A3775" s="306"/>
    </row>
    <row r="3776" spans="1:1">
      <c r="A3776" s="306"/>
    </row>
    <row r="3777" spans="1:1">
      <c r="A3777" s="306"/>
    </row>
    <row r="3778" spans="1:1">
      <c r="A3778" s="306"/>
    </row>
    <row r="3779" spans="1:1">
      <c r="A3779" s="306"/>
    </row>
    <row r="3780" spans="1:1">
      <c r="A3780" s="306"/>
    </row>
    <row r="3781" spans="1:1">
      <c r="A3781" s="306"/>
    </row>
    <row r="3782" spans="1:1">
      <c r="A3782" s="306"/>
    </row>
    <row r="3783" spans="1:1">
      <c r="A3783" s="306"/>
    </row>
    <row r="3784" spans="1:1">
      <c r="A3784" s="306"/>
    </row>
    <row r="3785" spans="1:1">
      <c r="A3785" s="306"/>
    </row>
    <row r="3786" spans="1:1">
      <c r="A3786" s="306"/>
    </row>
    <row r="3787" spans="1:1">
      <c r="A3787" s="306"/>
    </row>
    <row r="3788" spans="1:1">
      <c r="A3788" s="306"/>
    </row>
    <row r="3789" spans="1:1">
      <c r="A3789" s="306"/>
    </row>
    <row r="3790" spans="1:1">
      <c r="A3790" s="306"/>
    </row>
    <row r="3791" spans="1:1">
      <c r="A3791" s="306"/>
    </row>
    <row r="3792" spans="1:1">
      <c r="A3792" s="306"/>
    </row>
    <row r="3793" spans="1:1">
      <c r="A3793" s="306"/>
    </row>
    <row r="3794" spans="1:1">
      <c r="A3794" s="306"/>
    </row>
    <row r="3795" spans="1:1">
      <c r="A3795" s="306"/>
    </row>
    <row r="3796" spans="1:1">
      <c r="A3796" s="306"/>
    </row>
    <row r="3797" spans="1:1">
      <c r="A3797" s="306"/>
    </row>
    <row r="3798" spans="1:1">
      <c r="A3798" s="306"/>
    </row>
    <row r="3799" spans="1:1">
      <c r="A3799" s="306"/>
    </row>
    <row r="3800" spans="1:1">
      <c r="A3800" s="306"/>
    </row>
    <row r="3801" spans="1:1">
      <c r="A3801" s="306"/>
    </row>
    <row r="3802" spans="1:1">
      <c r="A3802" s="306"/>
    </row>
    <row r="3803" spans="1:1">
      <c r="A3803" s="306"/>
    </row>
    <row r="3804" spans="1:1">
      <c r="A3804" s="306"/>
    </row>
    <row r="3805" spans="1:1">
      <c r="A3805" s="306"/>
    </row>
    <row r="3806" spans="1:1">
      <c r="A3806" s="306"/>
    </row>
    <row r="3807" spans="1:1">
      <c r="A3807" s="306"/>
    </row>
    <row r="3808" spans="1:1">
      <c r="A3808" s="306"/>
    </row>
    <row r="3809" spans="1:1">
      <c r="A3809" s="306"/>
    </row>
    <row r="3810" spans="1:1">
      <c r="A3810" s="306"/>
    </row>
    <row r="3811" spans="1:1">
      <c r="A3811" s="306"/>
    </row>
    <row r="3812" spans="1:1">
      <c r="A3812" s="306"/>
    </row>
    <row r="3813" spans="1:1">
      <c r="A3813" s="306"/>
    </row>
    <row r="3814" spans="1:1">
      <c r="A3814" s="306"/>
    </row>
    <row r="3815" spans="1:1">
      <c r="A3815" s="306"/>
    </row>
    <row r="3816" spans="1:1">
      <c r="A3816" s="306"/>
    </row>
    <row r="3817" spans="1:1">
      <c r="A3817" s="306"/>
    </row>
    <row r="3818" spans="1:1">
      <c r="A3818" s="306"/>
    </row>
    <row r="3819" spans="1:1">
      <c r="A3819" s="306"/>
    </row>
    <row r="3820" spans="1:1">
      <c r="A3820" s="306"/>
    </row>
    <row r="3821" spans="1:1">
      <c r="A3821" s="306"/>
    </row>
    <row r="3822" spans="1:1">
      <c r="A3822" s="306"/>
    </row>
    <row r="3823" spans="1:1">
      <c r="A3823" s="306"/>
    </row>
    <row r="3824" spans="1:1">
      <c r="A3824" s="306"/>
    </row>
    <row r="3825" spans="1:1">
      <c r="A3825" s="306"/>
    </row>
    <row r="3826" spans="1:1">
      <c r="A3826" s="306"/>
    </row>
    <row r="3827" spans="1:1">
      <c r="A3827" s="306"/>
    </row>
    <row r="3828" spans="1:1">
      <c r="A3828" s="306"/>
    </row>
    <row r="3829" spans="1:1">
      <c r="A3829" s="306"/>
    </row>
    <row r="3830" spans="1:1">
      <c r="A3830" s="306"/>
    </row>
    <row r="3831" spans="1:1">
      <c r="A3831" s="306"/>
    </row>
    <row r="3832" spans="1:1">
      <c r="A3832" s="306"/>
    </row>
    <row r="3833" spans="1:1">
      <c r="A3833" s="306"/>
    </row>
    <row r="3834" spans="1:1">
      <c r="A3834" s="306"/>
    </row>
    <row r="3835" spans="1:1">
      <c r="A3835" s="306"/>
    </row>
    <row r="3836" spans="1:1">
      <c r="A3836" s="306"/>
    </row>
    <row r="3837" spans="1:1">
      <c r="A3837" s="306"/>
    </row>
    <row r="3838" spans="1:1">
      <c r="A3838" s="306"/>
    </row>
    <row r="3839" spans="1:1">
      <c r="A3839" s="306"/>
    </row>
    <row r="3840" spans="1:1">
      <c r="A3840" s="306"/>
    </row>
    <row r="3841" spans="1:1">
      <c r="A3841" s="306"/>
    </row>
    <row r="3842" spans="1:1">
      <c r="A3842" s="306"/>
    </row>
    <row r="3843" spans="1:1">
      <c r="A3843" s="306"/>
    </row>
    <row r="3844" spans="1:1">
      <c r="A3844" s="306"/>
    </row>
    <row r="3845" spans="1:1">
      <c r="A3845" s="306"/>
    </row>
    <row r="3846" spans="1:1">
      <c r="A3846" s="306"/>
    </row>
    <row r="3847" spans="1:1">
      <c r="A3847" s="306"/>
    </row>
    <row r="3848" spans="1:1">
      <c r="A3848" s="306"/>
    </row>
    <row r="3849" spans="1:1">
      <c r="A3849" s="306"/>
    </row>
    <row r="3850" spans="1:1">
      <c r="A3850" s="306"/>
    </row>
    <row r="3851" spans="1:1">
      <c r="A3851" s="306"/>
    </row>
    <row r="3852" spans="1:1">
      <c r="A3852" s="306"/>
    </row>
    <row r="3853" spans="1:1">
      <c r="A3853" s="306"/>
    </row>
    <row r="3854" spans="1:1">
      <c r="A3854" s="306"/>
    </row>
    <row r="3855" spans="1:1">
      <c r="A3855" s="306"/>
    </row>
    <row r="3856" spans="1:1">
      <c r="A3856" s="306"/>
    </row>
    <row r="3857" spans="1:1">
      <c r="A3857" s="306"/>
    </row>
    <row r="3858" spans="1:1">
      <c r="A3858" s="306"/>
    </row>
    <row r="3859" spans="1:1">
      <c r="A3859" s="306"/>
    </row>
    <row r="3860" spans="1:1">
      <c r="A3860" s="306"/>
    </row>
    <row r="3861" spans="1:1">
      <c r="A3861" s="306"/>
    </row>
    <row r="3862" spans="1:1">
      <c r="A3862" s="306"/>
    </row>
    <row r="3863" spans="1:1">
      <c r="A3863" s="306"/>
    </row>
    <row r="3864" spans="1:1">
      <c r="A3864" s="306"/>
    </row>
    <row r="3865" spans="1:1">
      <c r="A3865" s="306"/>
    </row>
    <row r="3866" spans="1:1">
      <c r="A3866" s="306"/>
    </row>
    <row r="3867" spans="1:1">
      <c r="A3867" s="306"/>
    </row>
    <row r="3868" spans="1:1">
      <c r="A3868" s="306"/>
    </row>
    <row r="3869" spans="1:1">
      <c r="A3869" s="306"/>
    </row>
    <row r="3870" spans="1:1">
      <c r="A3870" s="306"/>
    </row>
    <row r="3871" spans="1:1">
      <c r="A3871" s="306"/>
    </row>
    <row r="3872" spans="1:1">
      <c r="A3872" s="306"/>
    </row>
    <row r="3873" spans="1:1">
      <c r="A3873" s="306"/>
    </row>
    <row r="3874" spans="1:1">
      <c r="A3874" s="306"/>
    </row>
    <row r="3875" spans="1:1">
      <c r="A3875" s="306"/>
    </row>
    <row r="3876" spans="1:1">
      <c r="A3876" s="306"/>
    </row>
    <row r="3877" spans="1:1">
      <c r="A3877" s="306"/>
    </row>
    <row r="3878" spans="1:1">
      <c r="A3878" s="306"/>
    </row>
    <row r="3879" spans="1:1">
      <c r="A3879" s="306"/>
    </row>
    <row r="3880" spans="1:1">
      <c r="A3880" s="306"/>
    </row>
    <row r="3881" spans="1:1">
      <c r="A3881" s="306"/>
    </row>
    <row r="3882" spans="1:1">
      <c r="A3882" s="306"/>
    </row>
    <row r="3883" spans="1:1">
      <c r="A3883" s="306"/>
    </row>
    <row r="3884" spans="1:1">
      <c r="A3884" s="306"/>
    </row>
    <row r="3885" spans="1:1">
      <c r="A3885" s="306"/>
    </row>
    <row r="3886" spans="1:1">
      <c r="A3886" s="306"/>
    </row>
    <row r="3887" spans="1:1">
      <c r="A3887" s="306"/>
    </row>
    <row r="3888" spans="1:1">
      <c r="A3888" s="306"/>
    </row>
    <row r="3889" spans="1:1">
      <c r="A3889" s="306"/>
    </row>
    <row r="3890" spans="1:1">
      <c r="A3890" s="306"/>
    </row>
    <row r="3891" spans="1:1">
      <c r="A3891" s="306"/>
    </row>
    <row r="3892" spans="1:1">
      <c r="A3892" s="306"/>
    </row>
    <row r="3893" spans="1:1">
      <c r="A3893" s="306"/>
    </row>
    <row r="3894" spans="1:1">
      <c r="A3894" s="306"/>
    </row>
    <row r="3895" spans="1:1">
      <c r="A3895" s="306"/>
    </row>
    <row r="3896" spans="1:1">
      <c r="A3896" s="306"/>
    </row>
    <row r="3897" spans="1:1">
      <c r="A3897" s="306"/>
    </row>
    <row r="3898" spans="1:1">
      <c r="A3898" s="306"/>
    </row>
    <row r="3899" spans="1:1">
      <c r="A3899" s="306"/>
    </row>
    <row r="3900" spans="1:1">
      <c r="A3900" s="306"/>
    </row>
    <row r="3901" spans="1:1">
      <c r="A3901" s="306"/>
    </row>
    <row r="3902" spans="1:1">
      <c r="A3902" s="306"/>
    </row>
    <row r="3903" spans="1:1">
      <c r="A3903" s="306"/>
    </row>
    <row r="3904" spans="1:1">
      <c r="A3904" s="306"/>
    </row>
    <row r="3905" spans="1:1">
      <c r="A3905" s="306"/>
    </row>
    <row r="3906" spans="1:1">
      <c r="A3906" s="306"/>
    </row>
    <row r="3907" spans="1:1">
      <c r="A3907" s="306"/>
    </row>
    <row r="3908" spans="1:1">
      <c r="A3908" s="306"/>
    </row>
    <row r="3909" spans="1:1">
      <c r="A3909" s="306"/>
    </row>
    <row r="3910" spans="1:1">
      <c r="A3910" s="306"/>
    </row>
    <row r="3911" spans="1:1">
      <c r="A3911" s="306"/>
    </row>
    <row r="3912" spans="1:1">
      <c r="A3912" s="306"/>
    </row>
    <row r="3913" spans="1:1">
      <c r="A3913" s="306"/>
    </row>
    <row r="3914" spans="1:1">
      <c r="A3914" s="306"/>
    </row>
    <row r="3915" spans="1:1">
      <c r="A3915" s="306"/>
    </row>
    <row r="3916" spans="1:1">
      <c r="A3916" s="306"/>
    </row>
    <row r="3917" spans="1:1">
      <c r="A3917" s="306"/>
    </row>
    <row r="3918" spans="1:1">
      <c r="A3918" s="306"/>
    </row>
    <row r="3919" spans="1:1">
      <c r="A3919" s="306"/>
    </row>
    <row r="3920" spans="1:1">
      <c r="A3920" s="306"/>
    </row>
    <row r="3921" spans="1:1">
      <c r="A3921" s="306"/>
    </row>
    <row r="3922" spans="1:1">
      <c r="A3922" s="306"/>
    </row>
    <row r="3923" spans="1:1">
      <c r="A3923" s="306"/>
    </row>
    <row r="3924" spans="1:1">
      <c r="A3924" s="306"/>
    </row>
    <row r="3925" spans="1:1">
      <c r="A3925" s="306"/>
    </row>
    <row r="3926" spans="1:1">
      <c r="A3926" s="306"/>
    </row>
    <row r="3927" spans="1:1">
      <c r="A3927" s="306"/>
    </row>
    <row r="3928" spans="1:1">
      <c r="A3928" s="306"/>
    </row>
    <row r="3929" spans="1:1">
      <c r="A3929" s="306"/>
    </row>
    <row r="3930" spans="1:1">
      <c r="A3930" s="306"/>
    </row>
    <row r="3931" spans="1:1">
      <c r="A3931" s="306"/>
    </row>
    <row r="3932" spans="1:1">
      <c r="A3932" s="306"/>
    </row>
    <row r="3933" spans="1:1">
      <c r="A3933" s="306"/>
    </row>
    <row r="3934" spans="1:1">
      <c r="A3934" s="306"/>
    </row>
    <row r="3935" spans="1:1">
      <c r="A3935" s="306"/>
    </row>
    <row r="3936" spans="1:1">
      <c r="A3936" s="306"/>
    </row>
    <row r="3937" spans="1:1">
      <c r="A3937" s="306"/>
    </row>
    <row r="3938" spans="1:1">
      <c r="A3938" s="306"/>
    </row>
    <row r="3939" spans="1:1">
      <c r="A3939" s="306"/>
    </row>
    <row r="3940" spans="1:1">
      <c r="A3940" s="306"/>
    </row>
    <row r="3941" spans="1:1">
      <c r="A3941" s="306"/>
    </row>
    <row r="3942" spans="1:1">
      <c r="A3942" s="306"/>
    </row>
    <row r="3943" spans="1:1">
      <c r="A3943" s="306"/>
    </row>
    <row r="3944" spans="1:1">
      <c r="A3944" s="306"/>
    </row>
    <row r="3945" spans="1:1">
      <c r="A3945" s="306"/>
    </row>
    <row r="3946" spans="1:1">
      <c r="A3946" s="306"/>
    </row>
    <row r="3947" spans="1:1">
      <c r="A3947" s="306"/>
    </row>
    <row r="3948" spans="1:1">
      <c r="A3948" s="306"/>
    </row>
    <row r="3949" spans="1:1">
      <c r="A3949" s="306"/>
    </row>
    <row r="3950" spans="1:1">
      <c r="A3950" s="306"/>
    </row>
    <row r="3951" spans="1:1">
      <c r="A3951" s="306"/>
    </row>
    <row r="3952" spans="1:1">
      <c r="A3952" s="306"/>
    </row>
    <row r="3953" spans="1:1">
      <c r="A3953" s="306"/>
    </row>
    <row r="3954" spans="1:1">
      <c r="A3954" s="306"/>
    </row>
  </sheetData>
  <mergeCells count="1">
    <mergeCell ref="B51:H51"/>
  </mergeCells>
  <printOptions horizontalCentered="1"/>
  <pageMargins left="0" right="0" top="0.5" bottom="0.5" header="0.5" footer="0.3"/>
  <pageSetup scale="80" orientation="landscape" blackAndWhite="1" r:id="rId1"/>
  <headerFooter alignWithMargins="0">
    <oddFooter>&amp;LPrepared By: Annette Moore &amp;D&amp;R&amp;F &amp;A</oddFooter>
  </headerFooter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</sheetPr>
  <dimension ref="B1:IM312"/>
  <sheetViews>
    <sheetView topLeftCell="A25" workbookViewId="0">
      <selection activeCell="M26" sqref="M26"/>
    </sheetView>
  </sheetViews>
  <sheetFormatPr defaultColWidth="9.140625" defaultRowHeight="12.75"/>
  <cols>
    <col min="1" max="1" width="3.5703125" style="68" customWidth="1"/>
    <col min="2" max="2" width="5" style="68" customWidth="1"/>
    <col min="3" max="3" width="38" style="68" customWidth="1"/>
    <col min="4" max="4" width="14.140625" style="68" customWidth="1"/>
    <col min="5" max="5" width="7" style="68" customWidth="1"/>
    <col min="6" max="6" width="16" style="68" hidden="1" customWidth="1"/>
    <col min="7" max="7" width="15" style="68" customWidth="1"/>
    <col min="8" max="8" width="15.85546875" style="68" customWidth="1"/>
    <col min="9" max="9" width="13" style="68" customWidth="1"/>
    <col min="10" max="10" width="13.5703125" style="68" customWidth="1"/>
    <col min="11" max="11" width="12.85546875" style="68" customWidth="1"/>
    <col min="12" max="12" width="14.140625" style="68" customWidth="1"/>
    <col min="13" max="18" width="13" style="68" customWidth="1"/>
    <col min="19" max="19" width="14.42578125" style="68" customWidth="1"/>
    <col min="20" max="20" width="13.85546875" style="68" bestFit="1" customWidth="1"/>
    <col min="21" max="21" width="14.85546875" style="68" bestFit="1" customWidth="1"/>
    <col min="22" max="22" width="17.85546875" style="68" customWidth="1"/>
    <col min="23" max="16384" width="9.140625" style="68"/>
  </cols>
  <sheetData>
    <row r="1" spans="2:247" ht="15.75">
      <c r="B1" s="412" t="s">
        <v>535</v>
      </c>
      <c r="F1" s="392"/>
    </row>
    <row r="2" spans="2:247" ht="15.75">
      <c r="B2" s="411" t="s">
        <v>534</v>
      </c>
      <c r="C2" s="93"/>
      <c r="D2" s="93"/>
      <c r="E2" s="93"/>
      <c r="F2" s="410"/>
      <c r="G2" s="409"/>
      <c r="K2" s="408"/>
      <c r="L2" s="93"/>
    </row>
    <row r="3" spans="2:247" ht="9.75" customHeight="1">
      <c r="B3" s="109"/>
    </row>
    <row r="4" spans="2:247" ht="6.75" customHeight="1"/>
    <row r="5" spans="2:247" s="407" customFormat="1">
      <c r="B5" s="407" t="s">
        <v>43</v>
      </c>
      <c r="D5" s="407" t="s">
        <v>56</v>
      </c>
      <c r="F5" s="407" t="s">
        <v>55</v>
      </c>
      <c r="G5" s="119">
        <f>'Sched B 12MOE Jun-21'!E5</f>
        <v>44197</v>
      </c>
      <c r="H5" s="119">
        <f>'Sched B 12MOE Jun-21'!F5</f>
        <v>44228</v>
      </c>
      <c r="I5" s="119">
        <f>'Sched B 12MOE Jun-21'!G5</f>
        <v>44256</v>
      </c>
      <c r="J5" s="119">
        <f>'Sched B 12MOE Jun-21'!H5</f>
        <v>44287</v>
      </c>
      <c r="K5" s="119">
        <f>'Sched B 12MOE Jun-21'!I5</f>
        <v>44317</v>
      </c>
      <c r="L5" s="119">
        <f>'Sched B 12MOE Jun-21'!J5</f>
        <v>44348</v>
      </c>
      <c r="M5" s="119">
        <f>'Sched B 12MOE Jun-21'!K5</f>
        <v>44013</v>
      </c>
      <c r="N5" s="119">
        <f>'Sched B 12MOE Jun-21'!L5</f>
        <v>44044</v>
      </c>
      <c r="O5" s="119">
        <f>'Sched B 12MOE Jun-21'!M5</f>
        <v>44075</v>
      </c>
      <c r="P5" s="119">
        <f>'Sched B 12MOE Jun-21'!N5</f>
        <v>44105</v>
      </c>
      <c r="Q5" s="119">
        <f>'Sched B 12MOE Jun-21'!O5</f>
        <v>44136</v>
      </c>
      <c r="R5" s="119">
        <f>'Sched B 12MOE Jun-21'!P5</f>
        <v>44166</v>
      </c>
    </row>
    <row r="6" spans="2:247" ht="15.75">
      <c r="C6" s="398" t="s">
        <v>54</v>
      </c>
      <c r="F6" s="71"/>
      <c r="G6" s="71"/>
      <c r="H6" s="174"/>
      <c r="I6" s="174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</row>
    <row r="7" spans="2:247" ht="15.75" customHeight="1">
      <c r="B7" s="68">
        <v>1</v>
      </c>
      <c r="C7" s="376" t="s">
        <v>38</v>
      </c>
      <c r="D7" s="68">
        <v>501</v>
      </c>
      <c r="F7" s="174">
        <f t="shared" ref="F7:F14" si="0">SUM(G7:R7)</f>
        <v>40481080.870000005</v>
      </c>
      <c r="G7" s="405">
        <v>4938590</v>
      </c>
      <c r="H7" s="405">
        <v>4729962</v>
      </c>
      <c r="I7" s="405">
        <v>4636765.87</v>
      </c>
      <c r="J7" s="405">
        <v>2024201</v>
      </c>
      <c r="K7" s="405">
        <v>2457921</v>
      </c>
      <c r="L7" s="405">
        <v>2541909</v>
      </c>
      <c r="M7" s="399">
        <v>3430890</v>
      </c>
      <c r="N7" s="399">
        <v>4306028</v>
      </c>
      <c r="O7" s="399">
        <v>2607492</v>
      </c>
      <c r="P7" s="399">
        <v>1880330</v>
      </c>
      <c r="Q7" s="399">
        <v>2788425</v>
      </c>
      <c r="R7" s="399">
        <v>4138567</v>
      </c>
      <c r="S7" s="132"/>
      <c r="T7" s="406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</row>
    <row r="8" spans="2:247">
      <c r="B8" s="68">
        <v>2</v>
      </c>
      <c r="C8" s="376" t="s">
        <v>35</v>
      </c>
      <c r="D8" s="68">
        <v>547</v>
      </c>
      <c r="F8" s="174">
        <f t="shared" si="0"/>
        <v>178893362.42000002</v>
      </c>
      <c r="G8" s="405">
        <v>12597693</v>
      </c>
      <c r="H8" s="405">
        <v>15807355</v>
      </c>
      <c r="I8" s="405">
        <v>17707240.420000002</v>
      </c>
      <c r="J8" s="405">
        <v>16390690</v>
      </c>
      <c r="K8" s="405">
        <v>13705037</v>
      </c>
      <c r="L8" s="405">
        <v>19328766</v>
      </c>
      <c r="M8" s="400">
        <v>10379809</v>
      </c>
      <c r="N8" s="400">
        <v>15354867</v>
      </c>
      <c r="O8" s="400">
        <v>18202197</v>
      </c>
      <c r="P8" s="400">
        <v>13410645</v>
      </c>
      <c r="Q8" s="400">
        <v>10522990</v>
      </c>
      <c r="R8" s="399">
        <v>15486073</v>
      </c>
      <c r="S8" s="132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</row>
    <row r="9" spans="2:247">
      <c r="B9" s="68">
        <v>3</v>
      </c>
      <c r="C9" s="381" t="s">
        <v>34</v>
      </c>
      <c r="D9" s="93">
        <v>555</v>
      </c>
      <c r="F9" s="174">
        <f t="shared" si="0"/>
        <v>517503752.31999999</v>
      </c>
      <c r="G9" s="405">
        <v>54206749</v>
      </c>
      <c r="H9" s="405">
        <v>53927440.539999999</v>
      </c>
      <c r="I9" s="405">
        <v>45249291.780000001</v>
      </c>
      <c r="J9" s="405">
        <v>32041904</v>
      </c>
      <c r="K9" s="405">
        <v>34534046</v>
      </c>
      <c r="L9" s="405">
        <v>49826771</v>
      </c>
      <c r="M9" s="399">
        <v>29072562</v>
      </c>
      <c r="N9" s="399">
        <v>28507990</v>
      </c>
      <c r="O9" s="399">
        <v>25399615</v>
      </c>
      <c r="P9" s="399">
        <v>47010071</v>
      </c>
      <c r="Q9" s="399">
        <v>55615132</v>
      </c>
      <c r="R9" s="399">
        <v>62112180</v>
      </c>
      <c r="S9" s="132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</row>
    <row r="10" spans="2:247">
      <c r="B10" s="68">
        <v>4</v>
      </c>
      <c r="C10" s="376" t="s">
        <v>33</v>
      </c>
      <c r="D10" s="345" t="s">
        <v>533</v>
      </c>
      <c r="F10" s="174">
        <f t="shared" si="0"/>
        <v>-21311996.280000001</v>
      </c>
      <c r="G10" s="405">
        <v>-3067458</v>
      </c>
      <c r="H10" s="405">
        <v>-3950358</v>
      </c>
      <c r="I10" s="405">
        <v>-1355716.28</v>
      </c>
      <c r="J10" s="405">
        <v>-807053</v>
      </c>
      <c r="K10" s="405">
        <v>-568246</v>
      </c>
      <c r="L10" s="405">
        <v>-232821</v>
      </c>
      <c r="M10" s="400">
        <v>1075862</v>
      </c>
      <c r="N10" s="400">
        <v>-705579</v>
      </c>
      <c r="O10" s="400">
        <v>-864707</v>
      </c>
      <c r="P10" s="400">
        <v>-4659330</v>
      </c>
      <c r="Q10" s="400">
        <v>-3230298</v>
      </c>
      <c r="R10" s="399">
        <v>-2946292</v>
      </c>
      <c r="S10" s="132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</row>
    <row r="11" spans="2:247">
      <c r="B11" s="68">
        <v>5</v>
      </c>
      <c r="C11" s="376" t="s">
        <v>31</v>
      </c>
      <c r="D11" s="93">
        <v>55700003</v>
      </c>
      <c r="F11" s="174">
        <f t="shared" si="0"/>
        <v>509159.17</v>
      </c>
      <c r="G11" s="405">
        <v>38562</v>
      </c>
      <c r="H11" s="405">
        <v>27838</v>
      </c>
      <c r="I11" s="405">
        <v>28549.17</v>
      </c>
      <c r="J11" s="405">
        <v>44238</v>
      </c>
      <c r="K11" s="405">
        <v>64367</v>
      </c>
      <c r="L11" s="405">
        <v>87418</v>
      </c>
      <c r="M11" s="400">
        <v>27667</v>
      </c>
      <c r="N11" s="400">
        <v>35774</v>
      </c>
      <c r="O11" s="400">
        <v>37379</v>
      </c>
      <c r="P11" s="400">
        <v>46143</v>
      </c>
      <c r="Q11" s="400">
        <v>15068</v>
      </c>
      <c r="R11" s="399">
        <v>56156</v>
      </c>
      <c r="S11" s="132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</row>
    <row r="12" spans="2:247">
      <c r="B12" s="68">
        <v>6</v>
      </c>
      <c r="C12" s="376" t="s">
        <v>30</v>
      </c>
      <c r="D12" s="93">
        <v>447</v>
      </c>
      <c r="F12" s="174">
        <f t="shared" si="0"/>
        <v>-84077325.549999997</v>
      </c>
      <c r="G12" s="405">
        <v>-3529515</v>
      </c>
      <c r="H12" s="405">
        <v>-9117869</v>
      </c>
      <c r="I12" s="405">
        <v>-6066218.5499999998</v>
      </c>
      <c r="J12" s="405">
        <v>-6512202</v>
      </c>
      <c r="K12" s="405">
        <v>-5805811</v>
      </c>
      <c r="L12" s="405">
        <v>-13652436</v>
      </c>
      <c r="M12" s="400">
        <v>-4443361</v>
      </c>
      <c r="N12" s="400">
        <v>-8051102</v>
      </c>
      <c r="O12" s="400">
        <v>-7762358</v>
      </c>
      <c r="P12" s="400">
        <v>-10184780</v>
      </c>
      <c r="Q12" s="400">
        <v>-3416085</v>
      </c>
      <c r="R12" s="399">
        <v>-5535588</v>
      </c>
      <c r="S12" s="132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</row>
    <row r="13" spans="2:247">
      <c r="B13" s="68">
        <v>7</v>
      </c>
      <c r="C13" s="376" t="s">
        <v>29</v>
      </c>
      <c r="D13" s="93">
        <v>565</v>
      </c>
      <c r="E13" s="93"/>
      <c r="F13" s="174">
        <f t="shared" si="0"/>
        <v>123773669.06999999</v>
      </c>
      <c r="G13" s="405">
        <v>10030707</v>
      </c>
      <c r="H13" s="405">
        <v>10678976</v>
      </c>
      <c r="I13" s="405">
        <v>10393021.07</v>
      </c>
      <c r="J13" s="405">
        <v>10518588</v>
      </c>
      <c r="K13" s="405">
        <v>10399039</v>
      </c>
      <c r="L13" s="405">
        <v>10461282</v>
      </c>
      <c r="M13" s="400">
        <v>10265944</v>
      </c>
      <c r="N13" s="400">
        <v>10157236</v>
      </c>
      <c r="O13" s="400">
        <v>10340223</v>
      </c>
      <c r="P13" s="400">
        <v>10506869</v>
      </c>
      <c r="Q13" s="400">
        <v>10209634</v>
      </c>
      <c r="R13" s="400">
        <v>9812150</v>
      </c>
      <c r="S13" s="132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</row>
    <row r="14" spans="2:247">
      <c r="B14" s="68">
        <v>8</v>
      </c>
      <c r="C14" s="380" t="s">
        <v>28</v>
      </c>
      <c r="D14" s="93">
        <v>40810005</v>
      </c>
      <c r="E14" s="96"/>
      <c r="F14" s="174">
        <f t="shared" si="0"/>
        <v>635437</v>
      </c>
      <c r="G14" s="405">
        <v>-10927</v>
      </c>
      <c r="H14" s="405">
        <v>60005</v>
      </c>
      <c r="I14" s="405">
        <v>60004</v>
      </c>
      <c r="J14" s="405">
        <v>58056</v>
      </c>
      <c r="K14" s="405">
        <v>63426</v>
      </c>
      <c r="L14" s="405">
        <v>55608</v>
      </c>
      <c r="M14" s="400">
        <v>76129</v>
      </c>
      <c r="N14" s="400">
        <v>73978</v>
      </c>
      <c r="O14" s="400">
        <v>73978</v>
      </c>
      <c r="P14" s="400">
        <v>41727</v>
      </c>
      <c r="Q14" s="400">
        <v>41727</v>
      </c>
      <c r="R14" s="400">
        <v>41726</v>
      </c>
      <c r="S14" s="132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</row>
    <row r="15" spans="2:247">
      <c r="B15" s="68">
        <v>9</v>
      </c>
      <c r="D15" s="93"/>
      <c r="F15" s="395" t="e">
        <f>+F7+F8+F10+F9+F11+F12+#REF!+SUM(F13:F14)</f>
        <v>#REF!</v>
      </c>
      <c r="G15" s="395">
        <f t="shared" ref="G15:R15" si="1">SUM(G7:G14)</f>
        <v>75204401</v>
      </c>
      <c r="H15" s="395">
        <f t="shared" si="1"/>
        <v>72163349.539999992</v>
      </c>
      <c r="I15" s="395">
        <f t="shared" si="1"/>
        <v>70652937.480000019</v>
      </c>
      <c r="J15" s="395">
        <f t="shared" si="1"/>
        <v>53758422</v>
      </c>
      <c r="K15" s="395">
        <f t="shared" si="1"/>
        <v>54849779</v>
      </c>
      <c r="L15" s="395">
        <f t="shared" si="1"/>
        <v>68416497</v>
      </c>
      <c r="M15" s="395">
        <f t="shared" si="1"/>
        <v>49885502</v>
      </c>
      <c r="N15" s="395">
        <f t="shared" si="1"/>
        <v>49679192</v>
      </c>
      <c r="O15" s="395">
        <f t="shared" si="1"/>
        <v>48033819</v>
      </c>
      <c r="P15" s="395">
        <f t="shared" si="1"/>
        <v>58051675</v>
      </c>
      <c r="Q15" s="395">
        <f t="shared" si="1"/>
        <v>72546593</v>
      </c>
      <c r="R15" s="404">
        <f t="shared" si="1"/>
        <v>83164972</v>
      </c>
      <c r="S15" s="132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</row>
    <row r="16" spans="2:247">
      <c r="B16" s="68">
        <v>10</v>
      </c>
      <c r="D16" s="357"/>
      <c r="Q16" s="71"/>
      <c r="R16" s="174"/>
    </row>
    <row r="17" spans="2:247" ht="15.75">
      <c r="B17" s="68">
        <v>11</v>
      </c>
      <c r="C17" s="398" t="s">
        <v>53</v>
      </c>
      <c r="D17" s="398"/>
      <c r="E17" s="398"/>
      <c r="F17" s="398"/>
      <c r="G17" s="398"/>
      <c r="H17" s="398"/>
      <c r="I17" s="71"/>
      <c r="J17" s="71"/>
      <c r="K17" s="71"/>
      <c r="L17" s="71"/>
      <c r="M17" s="71"/>
      <c r="N17" s="71"/>
      <c r="O17" s="71"/>
      <c r="P17" s="71"/>
      <c r="Q17" s="71"/>
      <c r="R17" s="399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</row>
    <row r="18" spans="2:247">
      <c r="B18" s="68">
        <v>12</v>
      </c>
      <c r="C18" s="68" t="s">
        <v>298</v>
      </c>
      <c r="D18" s="68">
        <v>501</v>
      </c>
      <c r="E18" s="92" t="s">
        <v>52</v>
      </c>
      <c r="F18" s="71">
        <f t="shared" ref="F18:F25" si="2">SUM(G18:R18)</f>
        <v>0</v>
      </c>
      <c r="G18" s="71"/>
      <c r="H18" s="174"/>
      <c r="I18" s="399"/>
      <c r="J18" s="174"/>
      <c r="K18" s="174"/>
      <c r="L18" s="399"/>
      <c r="M18" s="174"/>
      <c r="N18" s="174"/>
      <c r="O18" s="400"/>
      <c r="P18" s="174"/>
      <c r="Q18" s="399"/>
      <c r="R18" s="399"/>
      <c r="S18" s="403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</row>
    <row r="19" spans="2:247">
      <c r="B19" s="68">
        <v>13</v>
      </c>
      <c r="C19" s="68" t="s">
        <v>336</v>
      </c>
      <c r="D19" s="68">
        <v>547</v>
      </c>
      <c r="E19" s="92" t="s">
        <v>51</v>
      </c>
      <c r="F19" s="71">
        <f t="shared" si="2"/>
        <v>0</v>
      </c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399"/>
      <c r="S19" s="132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</row>
    <row r="20" spans="2:247">
      <c r="B20" s="68">
        <v>14</v>
      </c>
      <c r="C20" s="68" t="s">
        <v>337</v>
      </c>
      <c r="D20" s="68">
        <v>555</v>
      </c>
      <c r="E20" s="96"/>
      <c r="F20" s="400">
        <f t="shared" si="2"/>
        <v>0</v>
      </c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399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</row>
    <row r="21" spans="2:247">
      <c r="B21" s="68">
        <v>15</v>
      </c>
      <c r="C21" s="68" t="s">
        <v>338</v>
      </c>
      <c r="D21" s="402" t="s">
        <v>50</v>
      </c>
      <c r="E21" s="92"/>
      <c r="F21" s="71">
        <f t="shared" si="2"/>
        <v>0</v>
      </c>
      <c r="G21" s="71"/>
      <c r="H21" s="401"/>
      <c r="I21" s="401"/>
      <c r="J21" s="401"/>
      <c r="K21" s="174"/>
      <c r="L21" s="174"/>
      <c r="M21" s="174"/>
      <c r="N21" s="401"/>
      <c r="O21" s="400"/>
      <c r="P21" s="174"/>
      <c r="Q21" s="174"/>
      <c r="R21" s="400"/>
      <c r="S21" s="132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</row>
    <row r="22" spans="2:247">
      <c r="B22" s="68">
        <v>16</v>
      </c>
      <c r="C22" s="68" t="s">
        <v>72</v>
      </c>
      <c r="D22" s="68">
        <v>447</v>
      </c>
      <c r="E22" s="96"/>
      <c r="F22" s="71">
        <f t="shared" si="2"/>
        <v>0</v>
      </c>
      <c r="G22" s="71"/>
      <c r="H22" s="174"/>
      <c r="I22" s="174"/>
      <c r="J22" s="174"/>
      <c r="K22" s="174"/>
      <c r="L22" s="174"/>
      <c r="M22" s="174"/>
      <c r="N22" s="401"/>
      <c r="O22" s="400"/>
      <c r="P22" s="401"/>
      <c r="Q22" s="174"/>
      <c r="R22" s="399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</row>
    <row r="23" spans="2:247">
      <c r="B23" s="68">
        <v>17</v>
      </c>
      <c r="C23" s="68" t="s">
        <v>29</v>
      </c>
      <c r="D23" s="68">
        <v>565</v>
      </c>
      <c r="E23" s="96"/>
      <c r="F23" s="71">
        <f t="shared" si="2"/>
        <v>0</v>
      </c>
      <c r="G23" s="71"/>
      <c r="H23" s="174"/>
      <c r="I23" s="174"/>
      <c r="J23" s="174"/>
      <c r="K23" s="174"/>
      <c r="L23" s="174"/>
      <c r="M23" s="174"/>
      <c r="N23" s="174"/>
      <c r="O23" s="400"/>
      <c r="P23" s="174"/>
      <c r="Q23" s="401"/>
      <c r="R23" s="399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</row>
    <row r="24" spans="2:247">
      <c r="B24" s="68">
        <v>18</v>
      </c>
      <c r="C24" s="68" t="s">
        <v>31</v>
      </c>
      <c r="D24" s="93">
        <v>55700003</v>
      </c>
      <c r="E24" s="96"/>
      <c r="F24" s="71">
        <f t="shared" si="2"/>
        <v>0</v>
      </c>
      <c r="G24" s="71"/>
      <c r="H24" s="174"/>
      <c r="I24" s="174"/>
      <c r="J24" s="401"/>
      <c r="K24" s="174"/>
      <c r="L24" s="174"/>
      <c r="M24" s="174"/>
      <c r="N24" s="174"/>
      <c r="O24" s="174"/>
      <c r="P24" s="174"/>
      <c r="Q24" s="174"/>
      <c r="R24" s="399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</row>
    <row r="25" spans="2:247">
      <c r="B25" s="68">
        <v>19</v>
      </c>
      <c r="C25" s="68" t="s">
        <v>28</v>
      </c>
      <c r="D25" s="93">
        <v>40810005</v>
      </c>
      <c r="F25" s="71">
        <f t="shared" si="2"/>
        <v>0</v>
      </c>
      <c r="O25" s="400"/>
      <c r="R25" s="399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</row>
    <row r="26" spans="2:247">
      <c r="B26" s="68">
        <v>20</v>
      </c>
      <c r="F26" s="395">
        <f t="shared" ref="F26:R26" si="3">SUM(F18:F25)</f>
        <v>0</v>
      </c>
      <c r="G26" s="395">
        <f t="shared" si="3"/>
        <v>0</v>
      </c>
      <c r="H26" s="395">
        <f t="shared" si="3"/>
        <v>0</v>
      </c>
      <c r="I26" s="395">
        <f t="shared" si="3"/>
        <v>0</v>
      </c>
      <c r="J26" s="395">
        <f t="shared" si="3"/>
        <v>0</v>
      </c>
      <c r="K26" s="395">
        <f t="shared" si="3"/>
        <v>0</v>
      </c>
      <c r="L26" s="395">
        <f t="shared" si="3"/>
        <v>0</v>
      </c>
      <c r="M26" s="395">
        <f t="shared" si="3"/>
        <v>0</v>
      </c>
      <c r="N26" s="395">
        <f t="shared" si="3"/>
        <v>0</v>
      </c>
      <c r="O26" s="395">
        <f t="shared" si="3"/>
        <v>0</v>
      </c>
      <c r="P26" s="395">
        <f t="shared" si="3"/>
        <v>0</v>
      </c>
      <c r="Q26" s="395">
        <f t="shared" si="3"/>
        <v>0</v>
      </c>
      <c r="R26" s="395">
        <f t="shared" si="3"/>
        <v>0</v>
      </c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</row>
    <row r="27" spans="2:247" ht="9" customHeight="1">
      <c r="B27" s="68">
        <v>21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</row>
    <row r="28" spans="2:247" ht="15.75">
      <c r="B28" s="68">
        <v>22</v>
      </c>
      <c r="C28" s="398" t="s">
        <v>49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</row>
    <row r="29" spans="2:247" ht="15">
      <c r="B29" s="68">
        <v>23</v>
      </c>
      <c r="C29" s="376" t="s">
        <v>38</v>
      </c>
      <c r="D29" s="68">
        <v>501</v>
      </c>
      <c r="F29" s="71">
        <f t="shared" ref="F29:F36" si="4">SUM(G29:R29)</f>
        <v>40481080.870000005</v>
      </c>
      <c r="G29" s="71">
        <f t="shared" ref="G29:R29" si="5">G7+G18</f>
        <v>4938590</v>
      </c>
      <c r="H29" s="71">
        <f t="shared" si="5"/>
        <v>4729962</v>
      </c>
      <c r="I29" s="71">
        <f t="shared" si="5"/>
        <v>4636765.87</v>
      </c>
      <c r="J29" s="71">
        <f t="shared" si="5"/>
        <v>2024201</v>
      </c>
      <c r="K29" s="71">
        <f t="shared" si="5"/>
        <v>2457921</v>
      </c>
      <c r="L29" s="71">
        <f t="shared" si="5"/>
        <v>2541909</v>
      </c>
      <c r="M29" s="71">
        <f t="shared" si="5"/>
        <v>3430890</v>
      </c>
      <c r="N29" s="71">
        <f t="shared" si="5"/>
        <v>4306028</v>
      </c>
      <c r="O29" s="71">
        <f t="shared" si="5"/>
        <v>2607492</v>
      </c>
      <c r="P29" s="71">
        <f t="shared" si="5"/>
        <v>1880330</v>
      </c>
      <c r="Q29" s="71">
        <f t="shared" si="5"/>
        <v>2788425</v>
      </c>
      <c r="R29" s="71">
        <f t="shared" si="5"/>
        <v>4138567</v>
      </c>
      <c r="S29" s="397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</row>
    <row r="30" spans="2:247">
      <c r="B30" s="68">
        <v>24</v>
      </c>
      <c r="C30" s="376" t="s">
        <v>35</v>
      </c>
      <c r="D30" s="68">
        <v>547</v>
      </c>
      <c r="F30" s="71">
        <f t="shared" si="4"/>
        <v>178893362.42000002</v>
      </c>
      <c r="G30" s="71">
        <f t="shared" ref="G30:R30" si="6">G8+G19</f>
        <v>12597693</v>
      </c>
      <c r="H30" s="71">
        <f t="shared" si="6"/>
        <v>15807355</v>
      </c>
      <c r="I30" s="71">
        <f t="shared" si="6"/>
        <v>17707240.420000002</v>
      </c>
      <c r="J30" s="71">
        <f t="shared" si="6"/>
        <v>16390690</v>
      </c>
      <c r="K30" s="71">
        <f t="shared" si="6"/>
        <v>13705037</v>
      </c>
      <c r="L30" s="71">
        <f t="shared" si="6"/>
        <v>19328766</v>
      </c>
      <c r="M30" s="71">
        <f t="shared" si="6"/>
        <v>10379809</v>
      </c>
      <c r="N30" s="71">
        <f t="shared" si="6"/>
        <v>15354867</v>
      </c>
      <c r="O30" s="71">
        <f t="shared" si="6"/>
        <v>18202197</v>
      </c>
      <c r="P30" s="71">
        <f t="shared" si="6"/>
        <v>13410645</v>
      </c>
      <c r="Q30" s="71">
        <f t="shared" si="6"/>
        <v>10522990</v>
      </c>
      <c r="R30" s="71">
        <f t="shared" si="6"/>
        <v>15486073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</row>
    <row r="31" spans="2:247">
      <c r="B31" s="68">
        <v>25</v>
      </c>
      <c r="C31" s="381" t="s">
        <v>34</v>
      </c>
      <c r="D31" s="68">
        <v>555</v>
      </c>
      <c r="F31" s="71">
        <f t="shared" si="4"/>
        <v>517503752.31999999</v>
      </c>
      <c r="G31" s="71">
        <f t="shared" ref="G31:R31" si="7">G9+G20</f>
        <v>54206749</v>
      </c>
      <c r="H31" s="71">
        <f t="shared" si="7"/>
        <v>53927440.539999999</v>
      </c>
      <c r="I31" s="71">
        <f t="shared" si="7"/>
        <v>45249291.780000001</v>
      </c>
      <c r="J31" s="71">
        <f t="shared" si="7"/>
        <v>32041904</v>
      </c>
      <c r="K31" s="71">
        <f t="shared" si="7"/>
        <v>34534046</v>
      </c>
      <c r="L31" s="71">
        <f t="shared" si="7"/>
        <v>49826771</v>
      </c>
      <c r="M31" s="71">
        <f t="shared" si="7"/>
        <v>29072562</v>
      </c>
      <c r="N31" s="71">
        <f t="shared" si="7"/>
        <v>28507990</v>
      </c>
      <c r="O31" s="71">
        <f t="shared" si="7"/>
        <v>25399615</v>
      </c>
      <c r="P31" s="71">
        <f t="shared" si="7"/>
        <v>47010071</v>
      </c>
      <c r="Q31" s="71">
        <f t="shared" si="7"/>
        <v>55615132</v>
      </c>
      <c r="R31" s="71">
        <f t="shared" si="7"/>
        <v>62112180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</row>
    <row r="32" spans="2:247">
      <c r="B32" s="68">
        <v>26</v>
      </c>
      <c r="C32" s="376" t="s">
        <v>33</v>
      </c>
      <c r="D32" s="504" t="s">
        <v>32</v>
      </c>
      <c r="F32" s="71">
        <f t="shared" si="4"/>
        <v>-21311996.280000001</v>
      </c>
      <c r="G32" s="71">
        <f t="shared" ref="G32:R32" si="8">G10+G21</f>
        <v>-3067458</v>
      </c>
      <c r="H32" s="71">
        <f t="shared" si="8"/>
        <v>-3950358</v>
      </c>
      <c r="I32" s="71">
        <f t="shared" si="8"/>
        <v>-1355716.28</v>
      </c>
      <c r="J32" s="71">
        <f t="shared" si="8"/>
        <v>-807053</v>
      </c>
      <c r="K32" s="71">
        <f t="shared" si="8"/>
        <v>-568246</v>
      </c>
      <c r="L32" s="71">
        <f t="shared" si="8"/>
        <v>-232821</v>
      </c>
      <c r="M32" s="71">
        <f t="shared" si="8"/>
        <v>1075862</v>
      </c>
      <c r="N32" s="71">
        <f t="shared" si="8"/>
        <v>-705579</v>
      </c>
      <c r="O32" s="71">
        <f t="shared" si="8"/>
        <v>-864707</v>
      </c>
      <c r="P32" s="71">
        <f t="shared" si="8"/>
        <v>-4659330</v>
      </c>
      <c r="Q32" s="71">
        <f t="shared" si="8"/>
        <v>-3230298</v>
      </c>
      <c r="R32" s="71">
        <f t="shared" si="8"/>
        <v>-2946292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</row>
    <row r="33" spans="2:247">
      <c r="B33" s="68">
        <v>27</v>
      </c>
      <c r="C33" s="376" t="s">
        <v>31</v>
      </c>
      <c r="D33" s="68">
        <v>55700003</v>
      </c>
      <c r="F33" s="71">
        <f t="shared" si="4"/>
        <v>509159.17</v>
      </c>
      <c r="G33" s="71">
        <f t="shared" ref="G33:R33" si="9">G11+G22</f>
        <v>38562</v>
      </c>
      <c r="H33" s="71">
        <f t="shared" si="9"/>
        <v>27838</v>
      </c>
      <c r="I33" s="71">
        <f t="shared" si="9"/>
        <v>28549.17</v>
      </c>
      <c r="J33" s="71">
        <f t="shared" si="9"/>
        <v>44238</v>
      </c>
      <c r="K33" s="71">
        <f t="shared" si="9"/>
        <v>64367</v>
      </c>
      <c r="L33" s="71">
        <f t="shared" si="9"/>
        <v>87418</v>
      </c>
      <c r="M33" s="71">
        <f t="shared" si="9"/>
        <v>27667</v>
      </c>
      <c r="N33" s="71">
        <f t="shared" si="9"/>
        <v>35774</v>
      </c>
      <c r="O33" s="71">
        <f t="shared" si="9"/>
        <v>37379</v>
      </c>
      <c r="P33" s="71">
        <f t="shared" si="9"/>
        <v>46143</v>
      </c>
      <c r="Q33" s="71">
        <f t="shared" si="9"/>
        <v>15068</v>
      </c>
      <c r="R33" s="71">
        <f t="shared" si="9"/>
        <v>56156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</row>
    <row r="34" spans="2:247">
      <c r="B34" s="68">
        <v>28</v>
      </c>
      <c r="C34" s="376" t="s">
        <v>30</v>
      </c>
      <c r="D34" s="68">
        <v>447</v>
      </c>
      <c r="F34" s="71">
        <f t="shared" si="4"/>
        <v>-84077325.549999997</v>
      </c>
      <c r="G34" s="71">
        <f t="shared" ref="G34:R34" si="10">G12+G23</f>
        <v>-3529515</v>
      </c>
      <c r="H34" s="71">
        <f t="shared" si="10"/>
        <v>-9117869</v>
      </c>
      <c r="I34" s="71">
        <f t="shared" si="10"/>
        <v>-6066218.5499999998</v>
      </c>
      <c r="J34" s="71">
        <f t="shared" si="10"/>
        <v>-6512202</v>
      </c>
      <c r="K34" s="71">
        <f t="shared" si="10"/>
        <v>-5805811</v>
      </c>
      <c r="L34" s="71">
        <f t="shared" si="10"/>
        <v>-13652436</v>
      </c>
      <c r="M34" s="71">
        <f t="shared" si="10"/>
        <v>-4443361</v>
      </c>
      <c r="N34" s="71">
        <f t="shared" si="10"/>
        <v>-8051102</v>
      </c>
      <c r="O34" s="71">
        <f t="shared" si="10"/>
        <v>-7762358</v>
      </c>
      <c r="P34" s="71">
        <f t="shared" si="10"/>
        <v>-10184780</v>
      </c>
      <c r="Q34" s="71">
        <f t="shared" si="10"/>
        <v>-3416085</v>
      </c>
      <c r="R34" s="71">
        <f t="shared" si="10"/>
        <v>-5535588</v>
      </c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</row>
    <row r="35" spans="2:247">
      <c r="B35" s="68">
        <v>29</v>
      </c>
      <c r="C35" s="376" t="s">
        <v>29</v>
      </c>
      <c r="D35" s="68">
        <v>565</v>
      </c>
      <c r="F35" s="71">
        <f t="shared" si="4"/>
        <v>123773669.06999999</v>
      </c>
      <c r="G35" s="71">
        <f t="shared" ref="G35:R35" si="11">G13+G24</f>
        <v>10030707</v>
      </c>
      <c r="H35" s="71">
        <f t="shared" si="11"/>
        <v>10678976</v>
      </c>
      <c r="I35" s="71">
        <f t="shared" si="11"/>
        <v>10393021.07</v>
      </c>
      <c r="J35" s="71">
        <f t="shared" si="11"/>
        <v>10518588</v>
      </c>
      <c r="K35" s="71">
        <f t="shared" si="11"/>
        <v>10399039</v>
      </c>
      <c r="L35" s="71">
        <f t="shared" si="11"/>
        <v>10461282</v>
      </c>
      <c r="M35" s="71">
        <f t="shared" si="11"/>
        <v>10265944</v>
      </c>
      <c r="N35" s="71">
        <f t="shared" si="11"/>
        <v>10157236</v>
      </c>
      <c r="O35" s="71">
        <f t="shared" si="11"/>
        <v>10340223</v>
      </c>
      <c r="P35" s="71">
        <f t="shared" si="11"/>
        <v>10506869</v>
      </c>
      <c r="Q35" s="71">
        <f t="shared" si="11"/>
        <v>10209634</v>
      </c>
      <c r="R35" s="71">
        <f t="shared" si="11"/>
        <v>9812150</v>
      </c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</row>
    <row r="36" spans="2:247">
      <c r="B36" s="68">
        <v>30</v>
      </c>
      <c r="C36" s="380" t="s">
        <v>28</v>
      </c>
      <c r="D36" s="68">
        <v>40810005</v>
      </c>
      <c r="F36" s="71">
        <f t="shared" si="4"/>
        <v>635437</v>
      </c>
      <c r="G36" s="71">
        <f t="shared" ref="G36:R36" si="12">G14+G25</f>
        <v>-10927</v>
      </c>
      <c r="H36" s="71">
        <f t="shared" si="12"/>
        <v>60005</v>
      </c>
      <c r="I36" s="71">
        <f t="shared" si="12"/>
        <v>60004</v>
      </c>
      <c r="J36" s="71">
        <f t="shared" si="12"/>
        <v>58056</v>
      </c>
      <c r="K36" s="71">
        <f t="shared" si="12"/>
        <v>63426</v>
      </c>
      <c r="L36" s="71">
        <f t="shared" si="12"/>
        <v>55608</v>
      </c>
      <c r="M36" s="71">
        <f t="shared" si="12"/>
        <v>76129</v>
      </c>
      <c r="N36" s="71">
        <f t="shared" si="12"/>
        <v>73978</v>
      </c>
      <c r="O36" s="71">
        <f t="shared" si="12"/>
        <v>73978</v>
      </c>
      <c r="P36" s="71">
        <f t="shared" si="12"/>
        <v>41727</v>
      </c>
      <c r="Q36" s="71">
        <f t="shared" si="12"/>
        <v>41727</v>
      </c>
      <c r="R36" s="71">
        <f t="shared" si="12"/>
        <v>41726</v>
      </c>
      <c r="S36" s="39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</row>
    <row r="37" spans="2:247">
      <c r="B37" s="68">
        <v>31</v>
      </c>
      <c r="F37" s="395">
        <f t="shared" ref="F37:R37" si="13">SUM(F29:F36)</f>
        <v>756407139.01999998</v>
      </c>
      <c r="G37" s="395">
        <f t="shared" si="13"/>
        <v>75204401</v>
      </c>
      <c r="H37" s="395">
        <f t="shared" si="13"/>
        <v>72163349.539999992</v>
      </c>
      <c r="I37" s="395">
        <f t="shared" si="13"/>
        <v>70652937.480000019</v>
      </c>
      <c r="J37" s="395">
        <f t="shared" si="13"/>
        <v>53758422</v>
      </c>
      <c r="K37" s="395">
        <f t="shared" si="13"/>
        <v>54849779</v>
      </c>
      <c r="L37" s="395">
        <f t="shared" si="13"/>
        <v>68416497</v>
      </c>
      <c r="M37" s="395">
        <f t="shared" si="13"/>
        <v>49885502</v>
      </c>
      <c r="N37" s="395">
        <f t="shared" si="13"/>
        <v>49679192</v>
      </c>
      <c r="O37" s="395">
        <f t="shared" si="13"/>
        <v>48033819</v>
      </c>
      <c r="P37" s="395">
        <f t="shared" si="13"/>
        <v>58051675</v>
      </c>
      <c r="Q37" s="395">
        <f t="shared" si="13"/>
        <v>72546593</v>
      </c>
      <c r="R37" s="395">
        <f t="shared" si="13"/>
        <v>83164972</v>
      </c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</row>
    <row r="38" spans="2:247"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</row>
    <row r="39" spans="2:247"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</row>
    <row r="40" spans="2:247"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</row>
    <row r="41" spans="2:247">
      <c r="F41" s="572"/>
      <c r="G41" s="572"/>
      <c r="H41" s="572"/>
      <c r="I41" s="572"/>
      <c r="J41" s="572"/>
      <c r="K41" s="572"/>
      <c r="L41" s="359"/>
      <c r="M41" s="359"/>
      <c r="N41" s="359"/>
      <c r="O41" s="359"/>
      <c r="P41" s="359"/>
      <c r="Q41" s="359"/>
      <c r="R41" s="359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</row>
    <row r="42" spans="2:247">
      <c r="C42" s="93" t="s">
        <v>48</v>
      </c>
      <c r="D42" s="144"/>
      <c r="E42" s="144"/>
      <c r="F42" s="394"/>
      <c r="G42" s="394"/>
      <c r="H42" s="394"/>
      <c r="I42" s="394"/>
      <c r="J42" s="394"/>
      <c r="K42" s="373"/>
      <c r="L42" s="359"/>
      <c r="M42" s="359"/>
      <c r="N42" s="359"/>
      <c r="O42" s="359"/>
      <c r="P42" s="359"/>
      <c r="Q42" s="359"/>
      <c r="R42" s="359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</row>
    <row r="43" spans="2:247"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71"/>
      <c r="T43" s="81"/>
      <c r="U43" s="81"/>
      <c r="V43" s="81"/>
      <c r="W43" s="8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</row>
    <row r="44" spans="2:247"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71"/>
      <c r="T44" s="81"/>
      <c r="U44" s="81"/>
      <c r="V44" s="81"/>
      <c r="W44" s="8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</row>
    <row r="45" spans="2:247" ht="18.75" hidden="1" customHeight="1">
      <c r="C45" s="1068" t="s">
        <v>339</v>
      </c>
      <c r="D45" s="1068"/>
      <c r="E45" s="1068"/>
      <c r="F45" s="1068"/>
      <c r="G45" s="1068"/>
      <c r="H45" s="1068"/>
      <c r="I45" s="1068"/>
      <c r="J45" s="1068"/>
      <c r="K45" s="359"/>
      <c r="L45" s="359"/>
      <c r="M45" s="359"/>
      <c r="N45" s="359"/>
      <c r="O45" s="359"/>
      <c r="P45" s="359"/>
      <c r="Q45" s="359"/>
      <c r="R45" s="359"/>
      <c r="S45" s="71"/>
      <c r="T45" s="81"/>
      <c r="U45" s="81"/>
      <c r="V45" s="81"/>
      <c r="W45" s="8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</row>
    <row r="46" spans="2:247" ht="6.75" hidden="1" customHeight="1"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71"/>
      <c r="T46" s="81"/>
      <c r="U46" s="81"/>
      <c r="V46" s="81"/>
      <c r="W46" s="8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</row>
    <row r="47" spans="2:247" ht="25.5" hidden="1" customHeight="1">
      <c r="C47" s="1068" t="s">
        <v>340</v>
      </c>
      <c r="D47" s="1068"/>
      <c r="E47" s="1068"/>
      <c r="F47" s="1068"/>
      <c r="G47" s="1068"/>
      <c r="H47" s="1068"/>
      <c r="I47" s="1068"/>
      <c r="J47" s="1068"/>
      <c r="K47" s="359"/>
      <c r="L47" s="359"/>
      <c r="M47" s="359"/>
      <c r="N47" s="359"/>
      <c r="O47" s="359"/>
      <c r="P47" s="359"/>
      <c r="Q47" s="359"/>
      <c r="R47" s="359"/>
      <c r="S47" s="71"/>
      <c r="T47" s="81"/>
      <c r="U47" s="81"/>
      <c r="V47" s="81"/>
      <c r="W47" s="8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</row>
    <row r="48" spans="2:247" ht="39" hidden="1" customHeight="1">
      <c r="B48" s="68">
        <v>75</v>
      </c>
      <c r="C48" s="1070" t="s">
        <v>341</v>
      </c>
      <c r="D48" s="1070"/>
      <c r="E48" s="1070"/>
      <c r="F48" s="1070"/>
      <c r="G48" s="1070"/>
      <c r="H48" s="1070"/>
      <c r="I48" s="1070"/>
      <c r="J48" s="1070"/>
      <c r="K48" s="1070"/>
      <c r="L48" s="1070"/>
      <c r="M48" s="1070"/>
      <c r="N48" s="359"/>
      <c r="O48" s="359"/>
      <c r="P48" s="359"/>
      <c r="Q48" s="359"/>
      <c r="R48" s="359"/>
      <c r="S48" s="71"/>
      <c r="T48" s="81"/>
      <c r="U48" s="81"/>
      <c r="V48" s="81"/>
      <c r="W48" s="8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</row>
    <row r="49" spans="2:247" ht="10.5" hidden="1" customHeight="1">
      <c r="B49" s="68">
        <v>76</v>
      </c>
      <c r="C49" s="573"/>
      <c r="D49" s="573"/>
      <c r="E49" s="573"/>
      <c r="F49" s="573"/>
      <c r="G49" s="573"/>
      <c r="H49" s="573"/>
      <c r="I49" s="573"/>
      <c r="J49" s="573"/>
      <c r="K49" s="573"/>
      <c r="L49" s="359"/>
      <c r="M49" s="359"/>
      <c r="N49" s="359"/>
      <c r="O49" s="359"/>
      <c r="P49" s="359"/>
      <c r="Q49" s="359"/>
      <c r="R49" s="359"/>
      <c r="S49" s="71"/>
      <c r="T49" s="81"/>
      <c r="U49" s="81"/>
      <c r="V49" s="81"/>
      <c r="W49" s="8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</row>
    <row r="50" spans="2:247" ht="26.25" hidden="1" customHeight="1">
      <c r="B50" s="68">
        <v>77</v>
      </c>
      <c r="C50" s="1069" t="s">
        <v>342</v>
      </c>
      <c r="D50" s="1069"/>
      <c r="E50" s="1069"/>
      <c r="F50" s="1069"/>
      <c r="G50" s="1069"/>
      <c r="H50" s="1069"/>
      <c r="I50" s="1069"/>
      <c r="J50" s="1069"/>
      <c r="L50" s="359"/>
      <c r="M50" s="359"/>
      <c r="N50" s="359"/>
      <c r="O50" s="359"/>
      <c r="P50" s="359"/>
      <c r="Q50" s="359"/>
      <c r="R50" s="359"/>
      <c r="S50" s="71"/>
      <c r="T50" s="81"/>
      <c r="U50" s="81"/>
      <c r="V50" s="81"/>
      <c r="W50" s="8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</row>
    <row r="51" spans="2:247" ht="9.75" hidden="1" customHeight="1">
      <c r="B51" s="68">
        <v>78</v>
      </c>
      <c r="C51" s="573"/>
      <c r="D51" s="573"/>
      <c r="E51" s="573"/>
      <c r="F51" s="573"/>
      <c r="G51" s="573"/>
      <c r="H51" s="573"/>
      <c r="I51" s="573"/>
      <c r="J51" s="573"/>
      <c r="L51" s="359"/>
      <c r="M51" s="359"/>
      <c r="N51" s="359"/>
      <c r="O51" s="359"/>
      <c r="P51" s="359"/>
      <c r="Q51" s="359"/>
      <c r="R51" s="359"/>
      <c r="S51" s="71"/>
      <c r="T51" s="81"/>
      <c r="U51" s="81"/>
      <c r="V51" s="81"/>
      <c r="W51" s="8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</row>
    <row r="52" spans="2:247" ht="27.75" hidden="1" customHeight="1">
      <c r="B52" s="68">
        <v>79</v>
      </c>
      <c r="C52" s="1069" t="s">
        <v>343</v>
      </c>
      <c r="D52" s="1069"/>
      <c r="E52" s="1069"/>
      <c r="F52" s="1069"/>
      <c r="G52" s="1069"/>
      <c r="H52" s="1069"/>
      <c r="I52" s="1069"/>
      <c r="J52" s="1069"/>
      <c r="K52" s="1069"/>
      <c r="L52" s="1069"/>
      <c r="M52" s="1069"/>
      <c r="N52" s="359"/>
      <c r="O52" s="359"/>
      <c r="P52" s="359"/>
      <c r="Q52" s="359"/>
      <c r="R52" s="359"/>
      <c r="S52" s="71"/>
      <c r="T52" s="81"/>
      <c r="U52" s="81"/>
      <c r="V52" s="81"/>
      <c r="W52" s="8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</row>
    <row r="53" spans="2:247" ht="11.25" hidden="1" customHeight="1">
      <c r="B53" s="68">
        <v>80</v>
      </c>
      <c r="C53" s="573"/>
      <c r="D53" s="573"/>
      <c r="E53" s="573"/>
      <c r="F53" s="573"/>
      <c r="G53" s="573"/>
      <c r="H53" s="573"/>
      <c r="I53" s="573"/>
      <c r="J53" s="573"/>
      <c r="L53" s="359"/>
      <c r="M53" s="359"/>
      <c r="N53" s="359"/>
      <c r="O53" s="359"/>
      <c r="P53" s="359"/>
      <c r="Q53" s="359"/>
      <c r="R53" s="359"/>
      <c r="S53" s="71"/>
      <c r="T53" s="81"/>
      <c r="U53" s="81"/>
      <c r="V53" s="81"/>
      <c r="W53" s="8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</row>
    <row r="54" spans="2:247" ht="26.25" hidden="1" customHeight="1">
      <c r="B54" s="68">
        <v>81</v>
      </c>
      <c r="C54" s="1069" t="s">
        <v>344</v>
      </c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359"/>
      <c r="O54" s="359"/>
      <c r="P54" s="359"/>
      <c r="Q54" s="359"/>
      <c r="R54" s="359"/>
      <c r="S54" s="71"/>
      <c r="T54" s="81"/>
      <c r="U54" s="81"/>
      <c r="V54" s="81"/>
      <c r="W54" s="8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</row>
    <row r="55" spans="2:247" ht="57" hidden="1" customHeight="1">
      <c r="B55" s="68">
        <v>82</v>
      </c>
      <c r="C55" s="1069" t="s">
        <v>345</v>
      </c>
      <c r="D55" s="1069"/>
      <c r="E55" s="1069"/>
      <c r="F55" s="1069"/>
      <c r="G55" s="1069"/>
      <c r="H55" s="1069"/>
      <c r="K55" s="359"/>
      <c r="L55" s="359"/>
      <c r="M55" s="359"/>
      <c r="N55" s="359"/>
      <c r="O55" s="359"/>
      <c r="P55" s="359"/>
      <c r="Q55" s="359"/>
      <c r="R55" s="359"/>
      <c r="S55" s="71"/>
      <c r="T55" s="81"/>
      <c r="U55" s="81"/>
      <c r="V55" s="81"/>
      <c r="W55" s="8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</row>
    <row r="56" spans="2:247" ht="10.5" customHeight="1"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71"/>
      <c r="T56" s="81"/>
      <c r="U56" s="81"/>
      <c r="V56" s="81"/>
      <c r="W56" s="8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</row>
    <row r="57" spans="2:247">
      <c r="D57" s="96"/>
      <c r="E57" s="96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71"/>
      <c r="T57" s="81"/>
      <c r="U57" s="81"/>
      <c r="V57" s="81"/>
      <c r="W57" s="8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</row>
    <row r="58" spans="2:247"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71"/>
      <c r="T58" s="81"/>
      <c r="U58" s="81"/>
      <c r="V58" s="81"/>
      <c r="W58" s="8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</row>
    <row r="59" spans="2:247">
      <c r="D59" s="10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71"/>
      <c r="T59" s="81"/>
      <c r="U59" s="81"/>
      <c r="V59" s="81"/>
      <c r="W59" s="8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</row>
    <row r="60" spans="2:247"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71"/>
      <c r="T60" s="81"/>
      <c r="U60" s="81"/>
      <c r="V60" s="81"/>
      <c r="W60" s="8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</row>
    <row r="61" spans="2:247"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81"/>
      <c r="U61" s="81"/>
      <c r="V61" s="81"/>
      <c r="W61" s="8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</row>
    <row r="62" spans="2:247"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81"/>
      <c r="U62" s="81"/>
      <c r="V62" s="81"/>
      <c r="W62" s="8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</row>
    <row r="63" spans="2:247">
      <c r="F63" s="71"/>
      <c r="G63" s="71"/>
      <c r="H63" s="71"/>
      <c r="I63" s="71"/>
      <c r="J63" s="71"/>
      <c r="K63" s="132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</row>
    <row r="64" spans="2:247">
      <c r="F64" s="71"/>
      <c r="G64" s="71"/>
      <c r="H64" s="71"/>
      <c r="I64" s="71"/>
      <c r="J64" s="71"/>
      <c r="K64" s="132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</row>
    <row r="65" spans="5:247"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</row>
    <row r="66" spans="5:247"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</row>
    <row r="67" spans="5:247"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</row>
    <row r="68" spans="5:247"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</row>
    <row r="69" spans="5:247"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</row>
    <row r="70" spans="5:247"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</row>
    <row r="71" spans="5:247"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</row>
    <row r="72" spans="5:247"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</row>
    <row r="73" spans="5:247"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</row>
    <row r="74" spans="5:247"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</row>
    <row r="75" spans="5:247"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</row>
    <row r="76" spans="5:247"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</row>
    <row r="77" spans="5:247"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</row>
    <row r="78" spans="5:247"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</row>
    <row r="79" spans="5:247"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</row>
    <row r="80" spans="5:247"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</row>
    <row r="81" spans="6:247"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</row>
    <row r="82" spans="6:247"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</row>
    <row r="83" spans="6:247"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</row>
    <row r="84" spans="6:247"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</row>
    <row r="85" spans="6:247"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</row>
    <row r="86" spans="6:247"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</row>
    <row r="87" spans="6:247"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</row>
    <row r="88" spans="6:247"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</row>
    <row r="89" spans="6:247"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</row>
    <row r="90" spans="6:247"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</row>
    <row r="91" spans="6:247"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</row>
    <row r="92" spans="6:247"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</row>
    <row r="93" spans="6:247"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</row>
    <row r="94" spans="6:247">
      <c r="F94" s="71"/>
      <c r="G94" s="71">
        <f>1687-1991</f>
        <v>-304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</row>
    <row r="95" spans="6:247">
      <c r="F95" s="71"/>
      <c r="G95" s="71">
        <f>G94*160</f>
        <v>-48640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</row>
    <row r="96" spans="6:247"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</row>
    <row r="97" spans="6:247"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  <c r="IJ97" s="71"/>
      <c r="IK97" s="71"/>
      <c r="IL97" s="71"/>
      <c r="IM97" s="71"/>
    </row>
    <row r="98" spans="6:247"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  <c r="IJ98" s="71"/>
      <c r="IK98" s="71"/>
      <c r="IL98" s="71"/>
      <c r="IM98" s="71"/>
    </row>
    <row r="99" spans="6:247"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</row>
    <row r="100" spans="6:247"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</row>
    <row r="101" spans="6:247"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</row>
    <row r="102" spans="6:247"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</row>
    <row r="103" spans="6:247"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  <c r="IJ103" s="71"/>
      <c r="IK103" s="71"/>
      <c r="IL103" s="71"/>
      <c r="IM103" s="71"/>
    </row>
    <row r="104" spans="6:247"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</row>
    <row r="105" spans="6:247"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</row>
    <row r="106" spans="6:247"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</row>
    <row r="107" spans="6:247"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</row>
    <row r="108" spans="6:247"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</row>
    <row r="109" spans="6:247"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</row>
    <row r="110" spans="6:247"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</row>
    <row r="111" spans="6:247"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</row>
    <row r="112" spans="6:247"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</row>
    <row r="113" spans="6:247"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</row>
    <row r="114" spans="6:247"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  <c r="IJ114" s="71"/>
      <c r="IK114" s="71"/>
      <c r="IL114" s="71"/>
      <c r="IM114" s="71"/>
    </row>
    <row r="115" spans="6:247"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</row>
    <row r="116" spans="6:247"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</row>
    <row r="117" spans="6:247"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</row>
    <row r="118" spans="6:247"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</row>
    <row r="119" spans="6:247"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</row>
    <row r="120" spans="6:247"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</row>
    <row r="121" spans="6:247"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</row>
    <row r="122" spans="6:247"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</row>
    <row r="123" spans="6:247"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</row>
    <row r="124" spans="6:247"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</row>
    <row r="125" spans="6:247"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</row>
    <row r="126" spans="6:247"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</row>
    <row r="127" spans="6:247"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</row>
    <row r="128" spans="6:247"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</row>
    <row r="129" spans="6:247"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</row>
    <row r="130" spans="6:247"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</row>
    <row r="131" spans="6:247"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</row>
    <row r="132" spans="6:247"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</row>
    <row r="133" spans="6:247"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</row>
    <row r="134" spans="6:247"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</row>
    <row r="135" spans="6:247"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</row>
    <row r="136" spans="6:247"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</row>
    <row r="137" spans="6:247"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</row>
    <row r="138" spans="6:247"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</row>
    <row r="139" spans="6:247"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</row>
    <row r="140" spans="6:247"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</row>
    <row r="141" spans="6:247"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</row>
    <row r="142" spans="6:247"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</row>
    <row r="143" spans="6:247"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</row>
    <row r="144" spans="6:247"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</row>
    <row r="145" spans="6:247"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</row>
    <row r="146" spans="6:247"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</row>
    <row r="147" spans="6:247"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</row>
    <row r="148" spans="6:247"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</row>
    <row r="149" spans="6:247"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</row>
    <row r="150" spans="6:247"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</row>
    <row r="151" spans="6:247"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</row>
    <row r="152" spans="6:247"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</row>
    <row r="153" spans="6:247"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</row>
    <row r="154" spans="6:247"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</row>
    <row r="155" spans="6:247"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</row>
    <row r="156" spans="6:247"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</row>
    <row r="157" spans="6:247"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</row>
    <row r="158" spans="6:247"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</row>
    <row r="159" spans="6:247"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</row>
    <row r="160" spans="6:247"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</row>
    <row r="161" spans="6:247"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</row>
    <row r="162" spans="6:247"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</row>
    <row r="163" spans="6:247"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</row>
    <row r="164" spans="6:247"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</row>
    <row r="165" spans="6:247"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</row>
    <row r="166" spans="6:247"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</row>
    <row r="167" spans="6:247"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</row>
    <row r="168" spans="6:247"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</row>
    <row r="169" spans="6:247"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</row>
    <row r="170" spans="6:247"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</row>
    <row r="171" spans="6:247"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</row>
    <row r="172" spans="6:247"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</row>
    <row r="173" spans="6:247"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</row>
    <row r="174" spans="6:247"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</row>
    <row r="175" spans="6:247"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</row>
    <row r="176" spans="6:247"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</row>
    <row r="177" spans="6:247"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</row>
    <row r="178" spans="6:247"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</row>
    <row r="179" spans="6:247"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</row>
    <row r="180" spans="6:247"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</row>
    <row r="181" spans="6:247"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</row>
    <row r="182" spans="6:247"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</row>
    <row r="183" spans="6:247"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</row>
    <row r="184" spans="6:247"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</row>
    <row r="185" spans="6:247"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</row>
    <row r="186" spans="6:247"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</row>
    <row r="187" spans="6:247"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</row>
    <row r="188" spans="6:247"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</row>
    <row r="189" spans="6:247"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</row>
    <row r="190" spans="6:247"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</row>
    <row r="191" spans="6:247"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</row>
    <row r="192" spans="6:247"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</row>
    <row r="193" spans="6:247"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</row>
    <row r="194" spans="6:247"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</row>
    <row r="195" spans="6:247"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</row>
    <row r="196" spans="6:247"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</row>
    <row r="197" spans="6:247"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</row>
    <row r="198" spans="6:247"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</row>
    <row r="199" spans="6:247"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</row>
    <row r="200" spans="6:247"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</row>
    <row r="201" spans="6:247"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</row>
    <row r="202" spans="6:247"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</row>
    <row r="203" spans="6:247"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</row>
    <row r="204" spans="6:247"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</row>
    <row r="205" spans="6:247"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</row>
    <row r="206" spans="6:247"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</row>
    <row r="207" spans="6:247"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</row>
    <row r="208" spans="6:247"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</row>
    <row r="209" spans="6:247"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</row>
    <row r="210" spans="6:247"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</row>
    <row r="211" spans="6:247"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</row>
    <row r="212" spans="6:247"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</row>
    <row r="213" spans="6:247"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</row>
    <row r="214" spans="6:247"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  <c r="IJ214" s="71"/>
      <c r="IK214" s="71"/>
      <c r="IL214" s="71"/>
      <c r="IM214" s="71"/>
    </row>
    <row r="215" spans="6:247"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  <c r="IJ215" s="71"/>
      <c r="IK215" s="71"/>
      <c r="IL215" s="71"/>
      <c r="IM215" s="71"/>
    </row>
    <row r="216" spans="6:247"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  <c r="IJ216" s="71"/>
      <c r="IK216" s="71"/>
      <c r="IL216" s="71"/>
      <c r="IM216" s="71"/>
    </row>
    <row r="217" spans="6:247"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  <c r="IJ217" s="71"/>
      <c r="IK217" s="71"/>
      <c r="IL217" s="71"/>
      <c r="IM217" s="71"/>
    </row>
    <row r="218" spans="6:247"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  <c r="IJ218" s="71"/>
      <c r="IK218" s="71"/>
      <c r="IL218" s="71"/>
      <c r="IM218" s="71"/>
    </row>
    <row r="219" spans="6:247"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  <c r="IJ219" s="71"/>
      <c r="IK219" s="71"/>
      <c r="IL219" s="71"/>
      <c r="IM219" s="71"/>
    </row>
    <row r="220" spans="6:247"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  <c r="IJ220" s="71"/>
      <c r="IK220" s="71"/>
      <c r="IL220" s="71"/>
      <c r="IM220" s="71"/>
    </row>
    <row r="221" spans="6:247"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  <c r="IJ221" s="71"/>
      <c r="IK221" s="71"/>
      <c r="IL221" s="71"/>
      <c r="IM221" s="71"/>
    </row>
    <row r="222" spans="6:247"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</row>
    <row r="223" spans="6:247"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</row>
    <row r="224" spans="6:247"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</row>
    <row r="225" spans="6:247"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</row>
    <row r="226" spans="6:247"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</row>
    <row r="227" spans="6:247"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</row>
    <row r="228" spans="6:247"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</row>
    <row r="229" spans="6:247"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  <c r="IJ229" s="71"/>
      <c r="IK229" s="71"/>
      <c r="IL229" s="71"/>
      <c r="IM229" s="71"/>
    </row>
    <row r="230" spans="6:247"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  <c r="IJ230" s="71"/>
      <c r="IK230" s="71"/>
      <c r="IL230" s="71"/>
      <c r="IM230" s="71"/>
    </row>
    <row r="231" spans="6:247"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  <c r="IJ231" s="71"/>
      <c r="IK231" s="71"/>
      <c r="IL231" s="71"/>
      <c r="IM231" s="71"/>
    </row>
    <row r="232" spans="6:247"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  <c r="IJ232" s="71"/>
      <c r="IK232" s="71"/>
      <c r="IL232" s="71"/>
      <c r="IM232" s="71"/>
    </row>
    <row r="233" spans="6:247"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  <c r="IJ233" s="71"/>
      <c r="IK233" s="71"/>
      <c r="IL233" s="71"/>
      <c r="IM233" s="71"/>
    </row>
    <row r="234" spans="6:247"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  <c r="IJ234" s="71"/>
      <c r="IK234" s="71"/>
      <c r="IL234" s="71"/>
      <c r="IM234" s="71"/>
    </row>
    <row r="235" spans="6:247"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  <c r="IJ235" s="71"/>
      <c r="IK235" s="71"/>
      <c r="IL235" s="71"/>
      <c r="IM235" s="71"/>
    </row>
    <row r="236" spans="6:247"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  <c r="IJ236" s="71"/>
      <c r="IK236" s="71"/>
      <c r="IL236" s="71"/>
      <c r="IM236" s="71"/>
    </row>
    <row r="237" spans="6:247"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  <c r="IJ237" s="71"/>
      <c r="IK237" s="71"/>
      <c r="IL237" s="71"/>
      <c r="IM237" s="71"/>
    </row>
    <row r="238" spans="6:247"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  <c r="IJ238" s="71"/>
      <c r="IK238" s="71"/>
      <c r="IL238" s="71"/>
      <c r="IM238" s="71"/>
    </row>
    <row r="239" spans="6:247"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  <c r="IJ239" s="71"/>
      <c r="IK239" s="71"/>
      <c r="IL239" s="71"/>
      <c r="IM239" s="71"/>
    </row>
    <row r="240" spans="6:247"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</row>
    <row r="241" spans="6:247"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  <c r="IJ241" s="71"/>
      <c r="IK241" s="71"/>
      <c r="IL241" s="71"/>
      <c r="IM241" s="71"/>
    </row>
    <row r="242" spans="6:247"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  <c r="IJ242" s="71"/>
      <c r="IK242" s="71"/>
      <c r="IL242" s="71"/>
      <c r="IM242" s="71"/>
    </row>
    <row r="243" spans="6:247"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  <c r="IJ243" s="71"/>
      <c r="IK243" s="71"/>
      <c r="IL243" s="71"/>
      <c r="IM243" s="71"/>
    </row>
    <row r="244" spans="6:247"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  <c r="IJ244" s="71"/>
      <c r="IK244" s="71"/>
      <c r="IL244" s="71"/>
      <c r="IM244" s="71"/>
    </row>
    <row r="245" spans="6:247"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  <c r="IJ245" s="71"/>
      <c r="IK245" s="71"/>
      <c r="IL245" s="71"/>
      <c r="IM245" s="71"/>
    </row>
    <row r="246" spans="6:247"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</row>
    <row r="247" spans="6:247"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  <c r="IJ247" s="71"/>
      <c r="IK247" s="71"/>
      <c r="IL247" s="71"/>
      <c r="IM247" s="71"/>
    </row>
    <row r="248" spans="6:247"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  <c r="IJ248" s="71"/>
      <c r="IK248" s="71"/>
      <c r="IL248" s="71"/>
      <c r="IM248" s="71"/>
    </row>
    <row r="249" spans="6:247"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  <c r="IJ249" s="71"/>
      <c r="IK249" s="71"/>
      <c r="IL249" s="71"/>
      <c r="IM249" s="71"/>
    </row>
    <row r="250" spans="6:247"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</row>
    <row r="251" spans="6:247"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  <c r="IJ251" s="71"/>
      <c r="IK251" s="71"/>
      <c r="IL251" s="71"/>
      <c r="IM251" s="71"/>
    </row>
    <row r="252" spans="6:247"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  <c r="IJ252" s="71"/>
      <c r="IK252" s="71"/>
      <c r="IL252" s="71"/>
      <c r="IM252" s="71"/>
    </row>
    <row r="253" spans="6:247"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  <c r="IJ253" s="71"/>
      <c r="IK253" s="71"/>
      <c r="IL253" s="71"/>
      <c r="IM253" s="71"/>
    </row>
    <row r="254" spans="6:247"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</row>
    <row r="255" spans="6:247"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</row>
    <row r="256" spans="6:247"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</row>
    <row r="257" spans="6:247"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</row>
    <row r="258" spans="6:247"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</row>
    <row r="259" spans="6:247"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</row>
    <row r="260" spans="6:247"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</row>
    <row r="261" spans="6:247"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</row>
    <row r="262" spans="6:247"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</row>
    <row r="263" spans="6:247"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</row>
    <row r="264" spans="6:247"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</row>
    <row r="265" spans="6:247"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</row>
    <row r="266" spans="6:247"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</row>
    <row r="267" spans="6:247"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</row>
    <row r="268" spans="6:247"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  <c r="IJ268" s="71"/>
      <c r="IK268" s="71"/>
      <c r="IL268" s="71"/>
      <c r="IM268" s="71"/>
    </row>
    <row r="269" spans="6:247"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  <c r="IJ269" s="71"/>
      <c r="IK269" s="71"/>
      <c r="IL269" s="71"/>
      <c r="IM269" s="71"/>
    </row>
    <row r="270" spans="6:247"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  <c r="IJ270" s="71"/>
      <c r="IK270" s="71"/>
      <c r="IL270" s="71"/>
      <c r="IM270" s="71"/>
    </row>
    <row r="271" spans="6:247"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  <c r="IJ271" s="71"/>
      <c r="IK271" s="71"/>
      <c r="IL271" s="71"/>
      <c r="IM271" s="71"/>
    </row>
    <row r="272" spans="6:247"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  <c r="IJ272" s="71"/>
      <c r="IK272" s="71"/>
      <c r="IL272" s="71"/>
      <c r="IM272" s="71"/>
    </row>
    <row r="273" spans="6:247"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  <c r="IJ273" s="71"/>
      <c r="IK273" s="71"/>
      <c r="IL273" s="71"/>
      <c r="IM273" s="71"/>
    </row>
    <row r="274" spans="6:247"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  <c r="IJ274" s="71"/>
      <c r="IK274" s="71"/>
      <c r="IL274" s="71"/>
      <c r="IM274" s="71"/>
    </row>
    <row r="275" spans="6:247"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</row>
    <row r="276" spans="6:247"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  <c r="IJ276" s="71"/>
      <c r="IK276" s="71"/>
      <c r="IL276" s="71"/>
      <c r="IM276" s="71"/>
    </row>
    <row r="277" spans="6:247"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  <c r="IJ277" s="71"/>
      <c r="IK277" s="71"/>
      <c r="IL277" s="71"/>
      <c r="IM277" s="71"/>
    </row>
    <row r="278" spans="6:247"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</row>
    <row r="279" spans="6:247"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  <c r="IJ279" s="71"/>
      <c r="IK279" s="71"/>
      <c r="IL279" s="71"/>
      <c r="IM279" s="71"/>
    </row>
    <row r="280" spans="6:247"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  <c r="IJ280" s="71"/>
      <c r="IK280" s="71"/>
      <c r="IL280" s="71"/>
      <c r="IM280" s="71"/>
    </row>
    <row r="281" spans="6:247"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  <c r="IJ281" s="71"/>
      <c r="IK281" s="71"/>
      <c r="IL281" s="71"/>
      <c r="IM281" s="71"/>
    </row>
    <row r="282" spans="6:247"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  <c r="IJ282" s="71"/>
      <c r="IK282" s="71"/>
      <c r="IL282" s="71"/>
      <c r="IM282" s="71"/>
    </row>
    <row r="283" spans="6:247"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</row>
    <row r="284" spans="6:247"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</row>
    <row r="285" spans="6:247"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</row>
    <row r="286" spans="6:247"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  <c r="IJ286" s="71"/>
      <c r="IK286" s="71"/>
      <c r="IL286" s="71"/>
      <c r="IM286" s="71"/>
    </row>
    <row r="287" spans="6:247"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  <c r="IJ287" s="71"/>
      <c r="IK287" s="71"/>
      <c r="IL287" s="71"/>
      <c r="IM287" s="71"/>
    </row>
    <row r="288" spans="6:247"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  <c r="IJ288" s="71"/>
      <c r="IK288" s="71"/>
      <c r="IL288" s="71"/>
      <c r="IM288" s="71"/>
    </row>
    <row r="289" spans="6:247"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  <c r="IJ289" s="71"/>
      <c r="IK289" s="71"/>
      <c r="IL289" s="71"/>
      <c r="IM289" s="71"/>
    </row>
    <row r="290" spans="6:247"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  <c r="IJ290" s="71"/>
      <c r="IK290" s="71"/>
      <c r="IL290" s="71"/>
      <c r="IM290" s="71"/>
    </row>
    <row r="291" spans="6:247"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  <c r="IJ291" s="71"/>
      <c r="IK291" s="71"/>
      <c r="IL291" s="71"/>
      <c r="IM291" s="71"/>
    </row>
    <row r="292" spans="6:247"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  <c r="IJ292" s="71"/>
      <c r="IK292" s="71"/>
      <c r="IL292" s="71"/>
      <c r="IM292" s="71"/>
    </row>
    <row r="293" spans="6:247"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  <c r="IJ293" s="71"/>
      <c r="IK293" s="71"/>
      <c r="IL293" s="71"/>
      <c r="IM293" s="71"/>
    </row>
    <row r="294" spans="6:247"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  <c r="IJ294" s="71"/>
      <c r="IK294" s="71"/>
      <c r="IL294" s="71"/>
      <c r="IM294" s="71"/>
    </row>
    <row r="295" spans="6:247"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  <c r="IJ295" s="71"/>
      <c r="IK295" s="71"/>
      <c r="IL295" s="71"/>
      <c r="IM295" s="71"/>
    </row>
    <row r="296" spans="6:247"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  <c r="IJ296" s="71"/>
      <c r="IK296" s="71"/>
      <c r="IL296" s="71"/>
      <c r="IM296" s="71"/>
    </row>
    <row r="297" spans="6:247"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  <c r="IJ297" s="71"/>
      <c r="IK297" s="71"/>
      <c r="IL297" s="71"/>
      <c r="IM297" s="71"/>
    </row>
    <row r="298" spans="6:247"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  <c r="IJ298" s="71"/>
      <c r="IK298" s="71"/>
      <c r="IL298" s="71"/>
      <c r="IM298" s="71"/>
    </row>
    <row r="299" spans="6:247"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  <c r="IJ299" s="71"/>
      <c r="IK299" s="71"/>
      <c r="IL299" s="71"/>
      <c r="IM299" s="71"/>
    </row>
    <row r="300" spans="6:247"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  <c r="IJ300" s="71"/>
      <c r="IK300" s="71"/>
      <c r="IL300" s="71"/>
      <c r="IM300" s="71"/>
    </row>
    <row r="301" spans="6:247"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  <c r="IJ301" s="71"/>
      <c r="IK301" s="71"/>
      <c r="IL301" s="71"/>
      <c r="IM301" s="71"/>
    </row>
    <row r="302" spans="6:247"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  <c r="IJ302" s="71"/>
      <c r="IK302" s="71"/>
      <c r="IL302" s="71"/>
      <c r="IM302" s="71"/>
    </row>
    <row r="303" spans="6:247"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  <c r="IJ303" s="71"/>
      <c r="IK303" s="71"/>
      <c r="IL303" s="71"/>
      <c r="IM303" s="71"/>
    </row>
    <row r="304" spans="6:247"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  <c r="IJ304" s="71"/>
      <c r="IK304" s="71"/>
      <c r="IL304" s="71"/>
      <c r="IM304" s="71"/>
    </row>
    <row r="305" spans="6:247"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  <c r="IJ305" s="71"/>
      <c r="IK305" s="71"/>
      <c r="IL305" s="71"/>
      <c r="IM305" s="71"/>
    </row>
    <row r="306" spans="6:247"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  <c r="IJ306" s="71"/>
      <c r="IK306" s="71"/>
      <c r="IL306" s="71"/>
      <c r="IM306" s="71"/>
    </row>
    <row r="307" spans="6:247"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  <c r="IJ307" s="71"/>
      <c r="IK307" s="71"/>
      <c r="IL307" s="71"/>
      <c r="IM307" s="71"/>
    </row>
    <row r="308" spans="6:247"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  <c r="IJ308" s="71"/>
      <c r="IK308" s="71"/>
      <c r="IL308" s="71"/>
      <c r="IM308" s="71"/>
    </row>
    <row r="309" spans="6:247"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  <c r="IJ309" s="71"/>
      <c r="IK309" s="71"/>
      <c r="IL309" s="71"/>
      <c r="IM309" s="71"/>
    </row>
    <row r="310" spans="6:247"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  <c r="IJ310" s="71"/>
      <c r="IK310" s="71"/>
      <c r="IL310" s="71"/>
      <c r="IM310" s="71"/>
    </row>
    <row r="311" spans="6:247"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  <c r="IJ311" s="71"/>
      <c r="IK311" s="71"/>
      <c r="IL311" s="71"/>
      <c r="IM311" s="71"/>
    </row>
    <row r="312" spans="6:247"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</row>
  </sheetData>
  <mergeCells count="7">
    <mergeCell ref="C45:J45"/>
    <mergeCell ref="C47:J47"/>
    <mergeCell ref="C55:H55"/>
    <mergeCell ref="C50:J50"/>
    <mergeCell ref="C48:M48"/>
    <mergeCell ref="C54:M54"/>
    <mergeCell ref="C52:M52"/>
  </mergeCells>
  <printOptions horizontalCentered="1"/>
  <pageMargins left="0" right="0" top="0.75" bottom="0.4" header="0.2" footer="0.3"/>
  <pageSetup scale="80" orientation="landscape" blackAndWhite="1" cellComments="asDisplayed" r:id="rId1"/>
  <headerFooter alignWithMargins="0">
    <oddFooter xml:space="preserve">&amp;LPrepared By: Annette Moore &amp;D&amp;R&amp;F &amp;A       </oddFooter>
  </headerFooter>
  <customProperties>
    <customPr name="_pios_id" r:id="rId2"/>
  </customProperties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A25" zoomScale="85" zoomScaleNormal="85" workbookViewId="0">
      <selection activeCell="M26" sqref="M26"/>
    </sheetView>
  </sheetViews>
  <sheetFormatPr defaultColWidth="9.140625" defaultRowHeight="12.75"/>
  <cols>
    <col min="1" max="1" width="6.28515625" style="19" bestFit="1" customWidth="1"/>
    <col min="2" max="2" width="30.140625" style="19" customWidth="1"/>
    <col min="3" max="3" width="7.140625" style="19" bestFit="1" customWidth="1"/>
    <col min="4" max="4" width="31.5703125" style="19" customWidth="1"/>
    <col min="5" max="5" width="16.7109375" style="19" bestFit="1" customWidth="1"/>
    <col min="6" max="6" width="17.42578125" style="19" bestFit="1" customWidth="1"/>
    <col min="7" max="7" width="16.140625" style="19" bestFit="1" customWidth="1"/>
    <col min="8" max="8" width="15.140625" style="19" bestFit="1" customWidth="1"/>
    <col min="9" max="9" width="16.140625" style="19" bestFit="1" customWidth="1"/>
    <col min="10" max="10" width="16.5703125" style="19" bestFit="1" customWidth="1"/>
    <col min="11" max="11" width="15.5703125" style="19" bestFit="1" customWidth="1"/>
    <col min="12" max="12" width="16" style="19" bestFit="1" customWidth="1"/>
    <col min="13" max="13" width="17" style="19" bestFit="1" customWidth="1"/>
    <col min="14" max="14" width="15" style="19" bestFit="1" customWidth="1"/>
    <col min="15" max="15" width="16" style="19" bestFit="1" customWidth="1"/>
    <col min="16" max="16" width="15" style="19" bestFit="1" customWidth="1"/>
    <col min="17" max="18" width="14.42578125" style="19" bestFit="1" customWidth="1"/>
    <col min="19" max="16384" width="9.140625" style="19"/>
  </cols>
  <sheetData>
    <row r="1" spans="1:17">
      <c r="A1" s="418"/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</row>
    <row r="2" spans="1:17">
      <c r="A2" s="418" t="e">
        <f>Company</f>
        <v>#NAME?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</row>
    <row r="3" spans="1:17">
      <c r="A3" s="421" t="s">
        <v>560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</row>
    <row r="4" spans="1:17" ht="14.25">
      <c r="A4" s="423" t="e">
        <f>TestYear</f>
        <v>#NAME?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 ht="14.25">
      <c r="A5" s="423" t="e">
        <f>RateCase</f>
        <v>#NAME?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17">
      <c r="A6" s="419"/>
      <c r="B6" s="418"/>
      <c r="C6" s="418"/>
      <c r="D6" s="420"/>
      <c r="E6" s="424" t="s">
        <v>561</v>
      </c>
      <c r="F6" s="425"/>
      <c r="G6" s="424" t="s">
        <v>562</v>
      </c>
      <c r="H6" s="425"/>
      <c r="I6" s="424" t="s">
        <v>562</v>
      </c>
      <c r="J6" s="425"/>
      <c r="K6" s="424" t="s">
        <v>562</v>
      </c>
      <c r="L6" s="425"/>
      <c r="M6" s="424" t="s">
        <v>561</v>
      </c>
      <c r="N6" s="425"/>
      <c r="O6" s="424" t="s">
        <v>561</v>
      </c>
      <c r="P6" s="425"/>
      <c r="Q6" s="424" t="s">
        <v>561</v>
      </c>
    </row>
    <row r="7" spans="1:17">
      <c r="A7" s="419"/>
      <c r="B7" s="418"/>
      <c r="C7" s="418"/>
      <c r="D7" s="420"/>
      <c r="E7" s="426"/>
      <c r="F7" s="427"/>
      <c r="G7" s="427"/>
      <c r="H7" s="427"/>
      <c r="I7" s="428"/>
      <c r="J7" s="426"/>
      <c r="K7" s="427"/>
      <c r="L7" s="427"/>
      <c r="M7" s="427"/>
      <c r="N7" s="427"/>
      <c r="O7" s="427"/>
      <c r="P7" s="427"/>
      <c r="Q7" s="428"/>
    </row>
    <row r="8" spans="1:17">
      <c r="A8" s="419"/>
      <c r="B8" s="418"/>
      <c r="C8" s="418"/>
      <c r="D8" s="420"/>
      <c r="E8" s="429"/>
      <c r="F8" s="430"/>
      <c r="G8" s="431"/>
      <c r="H8" s="432"/>
      <c r="I8" s="433" t="s">
        <v>563</v>
      </c>
      <c r="J8" s="505">
        <v>2022</v>
      </c>
      <c r="K8" s="434" t="s">
        <v>556</v>
      </c>
      <c r="L8" s="505">
        <v>2023</v>
      </c>
      <c r="M8" s="434" t="s">
        <v>556</v>
      </c>
      <c r="N8" s="505">
        <v>2024</v>
      </c>
      <c r="O8" s="434" t="s">
        <v>556</v>
      </c>
      <c r="P8" s="505">
        <v>2025</v>
      </c>
      <c r="Q8" s="435" t="s">
        <v>556</v>
      </c>
    </row>
    <row r="9" spans="1:17">
      <c r="A9" s="419"/>
      <c r="B9" s="419"/>
      <c r="C9" s="419"/>
      <c r="D9" s="436"/>
      <c r="E9" s="437" t="s">
        <v>564</v>
      </c>
      <c r="F9" s="438"/>
      <c r="G9" s="439" t="s">
        <v>1</v>
      </c>
      <c r="H9" s="440" t="s">
        <v>565</v>
      </c>
      <c r="I9" s="435" t="s">
        <v>556</v>
      </c>
      <c r="J9" s="441" t="s">
        <v>566</v>
      </c>
      <c r="K9" s="439" t="s">
        <v>567</v>
      </c>
      <c r="L9" s="440" t="s">
        <v>568</v>
      </c>
      <c r="M9" s="439" t="s">
        <v>567</v>
      </c>
      <c r="N9" s="440" t="s">
        <v>569</v>
      </c>
      <c r="O9" s="439" t="s">
        <v>567</v>
      </c>
      <c r="P9" s="440" t="s">
        <v>570</v>
      </c>
      <c r="Q9" s="435" t="s">
        <v>567</v>
      </c>
    </row>
    <row r="10" spans="1:17">
      <c r="A10" s="442" t="s">
        <v>85</v>
      </c>
      <c r="B10" s="442"/>
      <c r="C10" s="442"/>
      <c r="D10" s="443"/>
      <c r="E10" s="437" t="s">
        <v>556</v>
      </c>
      <c r="F10" s="440" t="s">
        <v>571</v>
      </c>
      <c r="G10" s="439" t="s">
        <v>572</v>
      </c>
      <c r="H10" s="440" t="s">
        <v>348</v>
      </c>
      <c r="I10" s="435" t="s">
        <v>572</v>
      </c>
      <c r="J10" s="441" t="s">
        <v>573</v>
      </c>
      <c r="K10" s="439" t="s">
        <v>574</v>
      </c>
      <c r="L10" s="440" t="s">
        <v>573</v>
      </c>
      <c r="M10" s="439" t="s">
        <v>575</v>
      </c>
      <c r="N10" s="440" t="s">
        <v>573</v>
      </c>
      <c r="O10" s="439" t="s">
        <v>575</v>
      </c>
      <c r="P10" s="440" t="s">
        <v>573</v>
      </c>
      <c r="Q10" s="435" t="s">
        <v>575</v>
      </c>
    </row>
    <row r="11" spans="1:17" ht="15.75">
      <c r="A11" s="444" t="s">
        <v>86</v>
      </c>
      <c r="B11" s="445" t="s">
        <v>0</v>
      </c>
      <c r="C11" s="523" t="s">
        <v>608</v>
      </c>
      <c r="D11" s="523" t="s">
        <v>609</v>
      </c>
      <c r="E11" s="447" t="s">
        <v>349</v>
      </c>
      <c r="F11" s="448" t="s">
        <v>576</v>
      </c>
      <c r="G11" s="449" t="s">
        <v>577</v>
      </c>
      <c r="H11" s="448" t="s">
        <v>576</v>
      </c>
      <c r="I11" s="450" t="s">
        <v>577</v>
      </c>
      <c r="J11" s="451" t="s">
        <v>576</v>
      </c>
      <c r="K11" s="449" t="s">
        <v>568</v>
      </c>
      <c r="L11" s="448" t="s">
        <v>576</v>
      </c>
      <c r="M11" s="449" t="s">
        <v>568</v>
      </c>
      <c r="N11" s="448" t="s">
        <v>576</v>
      </c>
      <c r="O11" s="449" t="s">
        <v>569</v>
      </c>
      <c r="P11" s="448" t="s">
        <v>576</v>
      </c>
      <c r="Q11" s="450" t="s">
        <v>570</v>
      </c>
    </row>
    <row r="12" spans="1:17" ht="15.75">
      <c r="A12" s="419"/>
      <c r="B12" s="419"/>
      <c r="C12" s="524"/>
      <c r="D12" s="524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</row>
    <row r="13" spans="1:17" ht="15.75">
      <c r="A13" s="452">
        <v>1</v>
      </c>
      <c r="B13" s="453" t="s">
        <v>578</v>
      </c>
      <c r="C13" s="525"/>
      <c r="D13" s="525"/>
      <c r="E13" s="454"/>
      <c r="F13" s="455"/>
      <c r="G13" s="455"/>
      <c r="H13" s="456"/>
      <c r="I13" s="455"/>
      <c r="J13" s="455"/>
      <c r="K13" s="455"/>
      <c r="L13" s="455"/>
      <c r="M13" s="455"/>
      <c r="N13" s="455"/>
      <c r="O13" s="455"/>
      <c r="P13" s="455"/>
      <c r="Q13" s="455"/>
    </row>
    <row r="14" spans="1:17" ht="15.75">
      <c r="A14" s="452">
        <f t="shared" ref="A14:A66" si="0">+A13+1</f>
        <v>2</v>
      </c>
      <c r="B14" s="457" t="s">
        <v>432</v>
      </c>
      <c r="C14" s="526">
        <v>501</v>
      </c>
      <c r="D14" s="529" t="s">
        <v>611</v>
      </c>
      <c r="E14" s="458">
        <f>+Lead!D14</f>
        <v>40481079.530000001</v>
      </c>
      <c r="F14" s="458">
        <f>+Lead!E14</f>
        <v>0</v>
      </c>
      <c r="G14" s="458">
        <f>+Lead!F14</f>
        <v>40481079.530000001</v>
      </c>
      <c r="H14" s="458">
        <f>+Lead!G14</f>
        <v>0</v>
      </c>
      <c r="I14" s="458">
        <f>+Lead!H14</f>
        <v>40481079.530000001</v>
      </c>
      <c r="J14" s="458">
        <f>+Lead!I14</f>
        <v>0</v>
      </c>
      <c r="K14" s="458">
        <f>+Lead!J14</f>
        <v>40481079.530000001</v>
      </c>
      <c r="L14" s="458">
        <f>+Lead!K14</f>
        <v>25209481.605987549</v>
      </c>
      <c r="M14" s="458">
        <f>+Lead!L14</f>
        <v>65690561.13598755</v>
      </c>
      <c r="N14" s="458">
        <f>+Lead!M14</f>
        <v>-10158669.335987553</v>
      </c>
      <c r="O14" s="458">
        <f>+Lead!N14</f>
        <v>55531891.799999997</v>
      </c>
      <c r="P14" s="458">
        <f>+Lead!O14</f>
        <v>0</v>
      </c>
      <c r="Q14" s="458">
        <f>+Lead!P14</f>
        <v>0</v>
      </c>
    </row>
    <row r="15" spans="1:17" ht="15.75">
      <c r="A15" s="452">
        <f t="shared" si="0"/>
        <v>3</v>
      </c>
      <c r="B15" s="457" t="s">
        <v>433</v>
      </c>
      <c r="C15" s="526">
        <v>547</v>
      </c>
      <c r="D15" s="529" t="s">
        <v>612</v>
      </c>
      <c r="E15" s="459">
        <f>+Lead!D15</f>
        <v>178893364.00999999</v>
      </c>
      <c r="F15" s="459">
        <f>+Lead!E15</f>
        <v>0</v>
      </c>
      <c r="G15" s="459">
        <f>+Lead!F15</f>
        <v>178893364.00999999</v>
      </c>
      <c r="H15" s="459">
        <f>+Lead!G15</f>
        <v>0</v>
      </c>
      <c r="I15" s="459">
        <f>+Lead!H15</f>
        <v>178893364.00999999</v>
      </c>
      <c r="J15" s="459">
        <f>+Lead!I15</f>
        <v>0</v>
      </c>
      <c r="K15" s="459">
        <f>+Lead!J15</f>
        <v>178893364.00999999</v>
      </c>
      <c r="L15" s="459">
        <f>+Lead!K15</f>
        <v>321449090.46306604</v>
      </c>
      <c r="M15" s="459">
        <f>+Lead!L15</f>
        <v>500342454.47306603</v>
      </c>
      <c r="N15" s="459">
        <f>+Lead!M15</f>
        <v>-176292307.77560771</v>
      </c>
      <c r="O15" s="459">
        <f>+Lead!N15</f>
        <v>324050146.69745833</v>
      </c>
      <c r="P15" s="459">
        <f>+Lead!O15</f>
        <v>0</v>
      </c>
      <c r="Q15" s="459">
        <f>+Lead!P15</f>
        <v>0</v>
      </c>
    </row>
    <row r="16" spans="1:17" ht="15.75">
      <c r="A16" s="452">
        <f t="shared" si="0"/>
        <v>4</v>
      </c>
      <c r="B16" s="457" t="s">
        <v>437</v>
      </c>
      <c r="C16" s="526">
        <v>555</v>
      </c>
      <c r="D16" s="529" t="s">
        <v>613</v>
      </c>
      <c r="E16" s="459">
        <f>+Lead!D16</f>
        <v>621116982.74000001</v>
      </c>
      <c r="F16" s="459">
        <f>+Lead!E16</f>
        <v>15058669.787625909</v>
      </c>
      <c r="G16" s="459">
        <f>+Lead!F16</f>
        <v>636175652.52762592</v>
      </c>
      <c r="H16" s="459">
        <f>+Lead!G16</f>
        <v>0</v>
      </c>
      <c r="I16" s="459">
        <f>+Lead!H16</f>
        <v>636175652.52762592</v>
      </c>
      <c r="J16" s="459">
        <f>+Lead!I16</f>
        <v>0</v>
      </c>
      <c r="K16" s="459">
        <f>+Lead!J16</f>
        <v>636175652.52762592</v>
      </c>
      <c r="L16" s="459">
        <f>+Lead!K16</f>
        <v>191427731.76285553</v>
      </c>
      <c r="M16" s="459">
        <f>+Lead!L16</f>
        <v>827603384.29048145</v>
      </c>
      <c r="N16" s="459">
        <f>+Lead!M16</f>
        <v>103089762.02236819</v>
      </c>
      <c r="O16" s="459">
        <f>+Lead!N16</f>
        <v>930693146.31284964</v>
      </c>
      <c r="P16" s="459">
        <f>+Lead!O16</f>
        <v>0</v>
      </c>
      <c r="Q16" s="459">
        <f>+Lead!P16</f>
        <v>0</v>
      </c>
    </row>
    <row r="17" spans="1:18" ht="15.75">
      <c r="A17" s="452">
        <f t="shared" si="0"/>
        <v>5</v>
      </c>
      <c r="B17" s="457" t="s">
        <v>438</v>
      </c>
      <c r="C17" s="526">
        <v>557</v>
      </c>
      <c r="D17" s="529" t="s">
        <v>614</v>
      </c>
      <c r="E17" s="459">
        <f>+Lead!D18</f>
        <v>-20517923.440000001</v>
      </c>
      <c r="F17" s="459">
        <f>+Lead!E18</f>
        <v>-8852626.7315418422</v>
      </c>
      <c r="G17" s="459">
        <f>+Lead!F18</f>
        <v>-29370550.171541844</v>
      </c>
      <c r="H17" s="459">
        <f>+Lead!G18</f>
        <v>0</v>
      </c>
      <c r="I17" s="459">
        <f>+Lead!H18</f>
        <v>-29370550.171541844</v>
      </c>
      <c r="J17" s="459">
        <f>+Lead!I18</f>
        <v>0</v>
      </c>
      <c r="K17" s="459">
        <f>+Lead!J18</f>
        <v>-29370550.171541844</v>
      </c>
      <c r="L17" s="459">
        <f>+Lead!K18</f>
        <v>42648002.327158451</v>
      </c>
      <c r="M17" s="459">
        <f>+Lead!L18</f>
        <v>13277452.155616608</v>
      </c>
      <c r="N17" s="459">
        <f>+Lead!M18</f>
        <v>352742.72336205654</v>
      </c>
      <c r="O17" s="459">
        <f>+Lead!N18</f>
        <v>13630194.878978664</v>
      </c>
      <c r="P17" s="459">
        <f>+Lead!O18</f>
        <v>0</v>
      </c>
      <c r="Q17" s="459">
        <f>+Lead!P18</f>
        <v>0</v>
      </c>
    </row>
    <row r="18" spans="1:18" ht="15.75">
      <c r="A18" s="452">
        <f t="shared" si="0"/>
        <v>6</v>
      </c>
      <c r="B18" s="419" t="s">
        <v>579</v>
      </c>
      <c r="C18" s="526">
        <v>557</v>
      </c>
      <c r="D18" s="529" t="s">
        <v>614</v>
      </c>
      <c r="E18" s="459">
        <f>+Lead!D19</f>
        <v>509160.25</v>
      </c>
      <c r="F18" s="459">
        <f>+Lead!E19</f>
        <v>0</v>
      </c>
      <c r="G18" s="459">
        <f>+Lead!F19</f>
        <v>509160.25</v>
      </c>
      <c r="H18" s="459">
        <f>+Lead!G19</f>
        <v>0</v>
      </c>
      <c r="I18" s="459">
        <f>+Lead!H19</f>
        <v>509160.25</v>
      </c>
      <c r="J18" s="459">
        <f>+Lead!I19</f>
        <v>0</v>
      </c>
      <c r="K18" s="459">
        <f>+Lead!J19</f>
        <v>509160.25</v>
      </c>
      <c r="L18" s="459">
        <f>+Lead!K19</f>
        <v>12219.84600000002</v>
      </c>
      <c r="M18" s="459">
        <f>+Lead!L19</f>
        <v>521380.09600000002</v>
      </c>
      <c r="N18" s="459">
        <f>+Lead!M19</f>
        <v>12513.12230399996</v>
      </c>
      <c r="O18" s="459">
        <f>+Lead!N19</f>
        <v>533893.21830399998</v>
      </c>
      <c r="P18" s="459">
        <f>+Lead!O19</f>
        <v>0</v>
      </c>
      <c r="Q18" s="459">
        <f>+Lead!P19</f>
        <v>0</v>
      </c>
    </row>
    <row r="19" spans="1:18" ht="15.75">
      <c r="A19" s="452">
        <f t="shared" si="0"/>
        <v>7</v>
      </c>
      <c r="B19" s="457" t="s">
        <v>440</v>
      </c>
      <c r="C19" s="526">
        <v>565</v>
      </c>
      <c r="D19" s="529" t="s">
        <v>615</v>
      </c>
      <c r="E19" s="459">
        <f>+Lead!D20</f>
        <v>123773668.73999999</v>
      </c>
      <c r="F19" s="459">
        <f>+Lead!E20</f>
        <v>0</v>
      </c>
      <c r="G19" s="459">
        <f>+Lead!F20</f>
        <v>123773668.73999999</v>
      </c>
      <c r="H19" s="459">
        <f>+Lead!G20</f>
        <v>0</v>
      </c>
      <c r="I19" s="459">
        <f>+Lead!H20</f>
        <v>123773668.73999999</v>
      </c>
      <c r="J19" s="459">
        <f>+Lead!I20</f>
        <v>0</v>
      </c>
      <c r="K19" s="459">
        <f>+Lead!J20</f>
        <v>123773668.73999999</v>
      </c>
      <c r="L19" s="459">
        <f>+Lead!K20</f>
        <v>11278201.410630897</v>
      </c>
      <c r="M19" s="459">
        <f>+Lead!L20</f>
        <v>135051870.15063089</v>
      </c>
      <c r="N19" s="459">
        <f>+Lead!M20</f>
        <v>18174856.403941482</v>
      </c>
      <c r="O19" s="459">
        <f>+Lead!N20</f>
        <v>153226726.55457237</v>
      </c>
      <c r="P19" s="459">
        <f>+Lead!O20</f>
        <v>0</v>
      </c>
      <c r="Q19" s="459">
        <f>+Lead!P20</f>
        <v>0</v>
      </c>
    </row>
    <row r="20" spans="1:18" ht="15.75">
      <c r="A20" s="452">
        <f t="shared" si="0"/>
        <v>8</v>
      </c>
      <c r="B20" s="457" t="s">
        <v>2</v>
      </c>
      <c r="C20" s="526">
        <v>447</v>
      </c>
      <c r="D20" s="529" t="s">
        <v>616</v>
      </c>
      <c r="E20" s="459">
        <f>+Lead!D21</f>
        <v>-175259903.59</v>
      </c>
      <c r="F20" s="459">
        <f>+Lead!E21</f>
        <v>0</v>
      </c>
      <c r="G20" s="459">
        <f>+Lead!F21</f>
        <v>-175259903.59</v>
      </c>
      <c r="H20" s="459">
        <f>+Lead!G21</f>
        <v>0</v>
      </c>
      <c r="I20" s="459">
        <f>+Lead!H21</f>
        <v>-175259903.59</v>
      </c>
      <c r="J20" s="459">
        <f>+Lead!I21</f>
        <v>0</v>
      </c>
      <c r="K20" s="459">
        <f>+Lead!J21</f>
        <v>-175259903.59</v>
      </c>
      <c r="L20" s="459">
        <f>+Lead!K21</f>
        <v>-306829663.81599998</v>
      </c>
      <c r="M20" s="459">
        <f>+Lead!L21</f>
        <v>-482089567.40599996</v>
      </c>
      <c r="N20" s="459">
        <f>+Lead!M21</f>
        <v>233059802.90599999</v>
      </c>
      <c r="O20" s="459">
        <f>+Lead!N21</f>
        <v>-249029764.49999997</v>
      </c>
      <c r="P20" s="459">
        <f>+Lead!O21</f>
        <v>0</v>
      </c>
      <c r="Q20" s="459">
        <f>+Lead!P21</f>
        <v>0</v>
      </c>
      <c r="R20"/>
    </row>
    <row r="21" spans="1:18" ht="26.25">
      <c r="A21" s="452">
        <f t="shared" si="0"/>
        <v>9</v>
      </c>
      <c r="B21" s="457" t="s">
        <v>441</v>
      </c>
      <c r="C21" s="526">
        <v>456</v>
      </c>
      <c r="D21" s="529" t="s">
        <v>617</v>
      </c>
      <c r="E21" s="459">
        <f>+Lead!D22</f>
        <v>-21311995.93</v>
      </c>
      <c r="F21" s="459">
        <f>+Lead!E22</f>
        <v>0</v>
      </c>
      <c r="G21" s="459">
        <f>+Lead!F22</f>
        <v>-21311995.93</v>
      </c>
      <c r="H21" s="459">
        <f>+Lead!G22</f>
        <v>0</v>
      </c>
      <c r="I21" s="459">
        <f>+Lead!H22</f>
        <v>-21311995.93</v>
      </c>
      <c r="J21" s="459">
        <f>+Lead!I22</f>
        <v>0</v>
      </c>
      <c r="K21" s="459">
        <f>+Lead!J22</f>
        <v>-21311995.93</v>
      </c>
      <c r="L21" s="459">
        <f>+Lead!K22</f>
        <v>-108954759.24406844</v>
      </c>
      <c r="M21" s="459">
        <f>+Lead!L22</f>
        <v>-130266755.17406844</v>
      </c>
      <c r="N21" s="459">
        <f>+Lead!M22</f>
        <v>3365397.3565045446</v>
      </c>
      <c r="O21" s="459">
        <f>+Lead!N22</f>
        <v>-126901357.81756389</v>
      </c>
      <c r="P21" s="459">
        <f>+Lead!O22</f>
        <v>0</v>
      </c>
      <c r="Q21" s="459">
        <f>+Lead!P22</f>
        <v>0</v>
      </c>
      <c r="R21"/>
    </row>
    <row r="22" spans="1:18" ht="15.75">
      <c r="A22" s="452">
        <f t="shared" si="0"/>
        <v>10</v>
      </c>
      <c r="B22" s="460" t="s">
        <v>580</v>
      </c>
      <c r="C22" s="526"/>
      <c r="D22" s="529"/>
      <c r="E22" s="461">
        <f t="shared" ref="E22:Q22" si="1">SUM(E14:E21)</f>
        <v>747684432.30999994</v>
      </c>
      <c r="F22" s="461">
        <f t="shared" si="1"/>
        <v>6206043.0560840666</v>
      </c>
      <c r="G22" s="461">
        <f t="shared" si="1"/>
        <v>753890475.3660841</v>
      </c>
      <c r="H22" s="461">
        <f t="shared" si="1"/>
        <v>0</v>
      </c>
      <c r="I22" s="461">
        <f t="shared" si="1"/>
        <v>753890475.3660841</v>
      </c>
      <c r="J22" s="461">
        <f t="shared" si="1"/>
        <v>0</v>
      </c>
      <c r="K22" s="461">
        <f t="shared" si="1"/>
        <v>753890475.3660841</v>
      </c>
      <c r="L22" s="461">
        <f t="shared" si="1"/>
        <v>176240304.3556301</v>
      </c>
      <c r="M22" s="461">
        <f t="shared" si="1"/>
        <v>930130779.72171426</v>
      </c>
      <c r="N22" s="461">
        <f t="shared" si="1"/>
        <v>171604097.422885</v>
      </c>
      <c r="O22" s="461">
        <f t="shared" si="1"/>
        <v>1101734877.144599</v>
      </c>
      <c r="P22" s="461">
        <f t="shared" si="1"/>
        <v>0</v>
      </c>
      <c r="Q22" s="461">
        <f t="shared" si="1"/>
        <v>0</v>
      </c>
      <c r="R22"/>
    </row>
    <row r="23" spans="1:18" ht="15.75">
      <c r="A23" s="452">
        <f t="shared" si="0"/>
        <v>11</v>
      </c>
      <c r="B23" s="453" t="s">
        <v>581</v>
      </c>
      <c r="C23" s="526"/>
      <c r="D23" s="529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/>
    </row>
    <row r="24" spans="1:18" ht="15.75">
      <c r="A24" s="452">
        <f t="shared" si="0"/>
        <v>12</v>
      </c>
      <c r="B24" s="453" t="s">
        <v>443</v>
      </c>
      <c r="C24" s="526"/>
      <c r="D24" s="529" t="s">
        <v>618</v>
      </c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/>
    </row>
    <row r="25" spans="1:18" ht="15.75">
      <c r="A25" s="452">
        <f t="shared" si="0"/>
        <v>13</v>
      </c>
      <c r="B25" s="463" t="s">
        <v>360</v>
      </c>
      <c r="C25" s="526"/>
      <c r="D25" s="529"/>
      <c r="E25" s="459">
        <f>SUM(E26:E55)</f>
        <v>108522830.96000001</v>
      </c>
      <c r="F25" s="459">
        <f>+Lead!E26</f>
        <v>0</v>
      </c>
      <c r="G25" s="459">
        <f>+Lead!F26</f>
        <v>108522830.96000001</v>
      </c>
      <c r="H25" s="459">
        <f>+Lead!G26</f>
        <v>0</v>
      </c>
      <c r="I25" s="459">
        <f>+Lead!H26</f>
        <v>108522830.96000001</v>
      </c>
      <c r="J25" s="459">
        <f>+Lead!I26</f>
        <v>0</v>
      </c>
      <c r="K25" s="459">
        <f>+Lead!J26</f>
        <v>108522830.96000001</v>
      </c>
      <c r="L25" s="459">
        <f>+Lead!K26</f>
        <v>13540601.894337162</v>
      </c>
      <c r="M25" s="459">
        <f>+Lead!L26</f>
        <v>122063432.85433717</v>
      </c>
      <c r="N25" s="459">
        <f>+Lead!M26</f>
        <v>-234683.18063247204</v>
      </c>
      <c r="O25" s="459">
        <f>+Lead!N26</f>
        <v>121828749.6737047</v>
      </c>
      <c r="P25" s="459">
        <f>+Lead!O26</f>
        <v>0</v>
      </c>
      <c r="Q25" s="459">
        <f>+Lead!P26</f>
        <v>0</v>
      </c>
      <c r="R25"/>
    </row>
    <row r="26" spans="1:18" ht="15.75">
      <c r="A26" s="452"/>
      <c r="B26" s="463" t="s">
        <v>360</v>
      </c>
      <c r="C26" s="526">
        <v>500</v>
      </c>
      <c r="D26" s="529" t="s">
        <v>619</v>
      </c>
      <c r="E26" s="528">
        <v>1295094.28</v>
      </c>
      <c r="F26" s="459"/>
      <c r="G26" s="459"/>
      <c r="H26" s="459"/>
      <c r="I26" s="459"/>
      <c r="J26" s="459"/>
      <c r="K26" s="459"/>
      <c r="L26" s="459">
        <f>+$L$25*E26/$E$25</f>
        <v>161591.39884193474</v>
      </c>
      <c r="M26" s="459"/>
      <c r="N26" s="459">
        <f>+N$25*$E26/$E$25</f>
        <v>-2800.6719153995182</v>
      </c>
      <c r="O26" s="459"/>
      <c r="P26" s="459">
        <f>+P$25*$E26/$E$25</f>
        <v>0</v>
      </c>
      <c r="Q26" s="459"/>
      <c r="R26"/>
    </row>
    <row r="27" spans="1:18" ht="15.75">
      <c r="A27" s="452"/>
      <c r="B27" s="463" t="s">
        <v>360</v>
      </c>
      <c r="C27" s="526">
        <v>502</v>
      </c>
      <c r="D27" s="529" t="s">
        <v>620</v>
      </c>
      <c r="E27" s="528">
        <v>7364004.54</v>
      </c>
      <c r="F27" s="459"/>
      <c r="G27" s="459"/>
      <c r="H27" s="459"/>
      <c r="I27" s="459"/>
      <c r="J27" s="459"/>
      <c r="K27" s="459"/>
      <c r="L27" s="459">
        <f t="shared" ref="L27:L55" si="2">+$L$25*E27/$E$25</f>
        <v>918820.9793475098</v>
      </c>
      <c r="M27" s="459"/>
      <c r="N27" s="459">
        <f t="shared" ref="N27:P55" si="3">+N$25*$E27/$E$25</f>
        <v>-15924.833441510176</v>
      </c>
      <c r="O27" s="459"/>
      <c r="P27" s="459">
        <f t="shared" si="3"/>
        <v>0</v>
      </c>
      <c r="Q27" s="459"/>
      <c r="R27"/>
    </row>
    <row r="28" spans="1:18" ht="15.75">
      <c r="A28" s="452"/>
      <c r="B28" s="463" t="s">
        <v>360</v>
      </c>
      <c r="C28" s="526">
        <v>505</v>
      </c>
      <c r="D28" s="529" t="s">
        <v>621</v>
      </c>
      <c r="E28" s="528">
        <v>1461150.83</v>
      </c>
      <c r="F28" s="459"/>
      <c r="G28" s="459"/>
      <c r="H28" s="459"/>
      <c r="I28" s="459"/>
      <c r="J28" s="459"/>
      <c r="K28" s="459"/>
      <c r="L28" s="459">
        <f t="shared" si="2"/>
        <v>182310.59327877965</v>
      </c>
      <c r="M28" s="459"/>
      <c r="N28" s="459">
        <f t="shared" si="3"/>
        <v>-3159.7731199489936</v>
      </c>
      <c r="O28" s="459"/>
      <c r="P28" s="459">
        <f t="shared" si="3"/>
        <v>0</v>
      </c>
      <c r="Q28" s="459"/>
      <c r="R28"/>
    </row>
    <row r="29" spans="1:18" ht="15.75">
      <c r="A29" s="452"/>
      <c r="B29" s="463" t="s">
        <v>360</v>
      </c>
      <c r="C29" s="526">
        <v>506</v>
      </c>
      <c r="D29" s="529" t="s">
        <v>622</v>
      </c>
      <c r="E29" s="528">
        <v>11091633.619999999</v>
      </c>
      <c r="F29" s="459"/>
      <c r="G29" s="459"/>
      <c r="H29" s="459"/>
      <c r="I29" s="459"/>
      <c r="J29" s="459"/>
      <c r="K29" s="459"/>
      <c r="L29" s="459">
        <f t="shared" si="2"/>
        <v>1383924.4136712828</v>
      </c>
      <c r="M29" s="459"/>
      <c r="N29" s="459">
        <f t="shared" si="3"/>
        <v>-23985.919214649832</v>
      </c>
      <c r="O29" s="459"/>
      <c r="P29" s="459">
        <f t="shared" si="3"/>
        <v>0</v>
      </c>
      <c r="Q29" s="459"/>
      <c r="R29"/>
    </row>
    <row r="30" spans="1:18" ht="15.75">
      <c r="A30" s="452"/>
      <c r="B30" s="463" t="s">
        <v>360</v>
      </c>
      <c r="C30" s="526">
        <v>507</v>
      </c>
      <c r="D30" s="529" t="s">
        <v>623</v>
      </c>
      <c r="E30" s="528">
        <v>-18.62</v>
      </c>
      <c r="F30" s="459"/>
      <c r="G30" s="459"/>
      <c r="H30" s="459"/>
      <c r="I30" s="459"/>
      <c r="J30" s="459"/>
      <c r="K30" s="459"/>
      <c r="L30" s="459">
        <f t="shared" si="2"/>
        <v>-2.3232531352364747</v>
      </c>
      <c r="M30" s="459"/>
      <c r="N30" s="459">
        <f t="shared" si="3"/>
        <v>4.0266189010377706E-2</v>
      </c>
      <c r="O30" s="459"/>
      <c r="P30" s="459">
        <f t="shared" si="3"/>
        <v>0</v>
      </c>
      <c r="Q30" s="459"/>
      <c r="R30"/>
    </row>
    <row r="31" spans="1:18" ht="15.75">
      <c r="A31" s="452"/>
      <c r="B31" s="463" t="s">
        <v>360</v>
      </c>
      <c r="C31" s="526">
        <v>510</v>
      </c>
      <c r="D31" s="529" t="s">
        <v>624</v>
      </c>
      <c r="E31" s="528">
        <v>1156751.58</v>
      </c>
      <c r="F31" s="459"/>
      <c r="G31" s="459"/>
      <c r="H31" s="459"/>
      <c r="I31" s="459"/>
      <c r="J31" s="459"/>
      <c r="K31" s="459"/>
      <c r="L31" s="459">
        <f t="shared" si="2"/>
        <v>144330.11465761255</v>
      </c>
      <c r="M31" s="459"/>
      <c r="N31" s="459">
        <f t="shared" si="3"/>
        <v>-2501.5025648943633</v>
      </c>
      <c r="O31" s="459"/>
      <c r="P31" s="459">
        <f t="shared" si="3"/>
        <v>0</v>
      </c>
      <c r="Q31" s="459"/>
      <c r="R31"/>
    </row>
    <row r="32" spans="1:18" ht="15.75">
      <c r="A32" s="452"/>
      <c r="B32" s="463" t="s">
        <v>360</v>
      </c>
      <c r="C32" s="526">
        <v>511</v>
      </c>
      <c r="D32" s="529" t="s">
        <v>625</v>
      </c>
      <c r="E32" s="528">
        <v>1387943.26</v>
      </c>
      <c r="F32" s="459"/>
      <c r="G32" s="459"/>
      <c r="H32" s="459"/>
      <c r="I32" s="459"/>
      <c r="J32" s="459"/>
      <c r="K32" s="459"/>
      <c r="L32" s="459">
        <f t="shared" si="2"/>
        <v>173176.34427096311</v>
      </c>
      <c r="M32" s="459"/>
      <c r="N32" s="459">
        <f t="shared" si="3"/>
        <v>-3001.4600237830182</v>
      </c>
      <c r="O32" s="459"/>
      <c r="P32" s="459">
        <f t="shared" si="3"/>
        <v>0</v>
      </c>
      <c r="Q32" s="459"/>
      <c r="R32"/>
    </row>
    <row r="33" spans="1:18" ht="15.75">
      <c r="A33" s="452"/>
      <c r="B33" s="463" t="s">
        <v>360</v>
      </c>
      <c r="C33" s="526">
        <v>512</v>
      </c>
      <c r="D33" s="529" t="s">
        <v>626</v>
      </c>
      <c r="E33" s="528">
        <v>10048285.199999999</v>
      </c>
      <c r="F33" s="459"/>
      <c r="G33" s="459"/>
      <c r="H33" s="459"/>
      <c r="I33" s="459"/>
      <c r="J33" s="459"/>
      <c r="K33" s="459"/>
      <c r="L33" s="459">
        <f t="shared" si="2"/>
        <v>1253743.8289285856</v>
      </c>
      <c r="M33" s="459"/>
      <c r="N33" s="459">
        <f t="shared" si="3"/>
        <v>-21729.653657002196</v>
      </c>
      <c r="O33" s="459"/>
      <c r="P33" s="459">
        <f t="shared" si="3"/>
        <v>0</v>
      </c>
      <c r="Q33" s="459"/>
      <c r="R33"/>
    </row>
    <row r="34" spans="1:18" ht="15.75">
      <c r="A34" s="452"/>
      <c r="B34" s="463" t="s">
        <v>360</v>
      </c>
      <c r="C34" s="526">
        <v>513</v>
      </c>
      <c r="D34" s="529" t="s">
        <v>627</v>
      </c>
      <c r="E34" s="528">
        <v>5293635.71</v>
      </c>
      <c r="F34" s="459"/>
      <c r="G34" s="459"/>
      <c r="H34" s="459"/>
      <c r="I34" s="459"/>
      <c r="J34" s="459"/>
      <c r="K34" s="459"/>
      <c r="L34" s="459">
        <f t="shared" si="2"/>
        <v>660497.08700629754</v>
      </c>
      <c r="M34" s="459"/>
      <c r="N34" s="459">
        <f t="shared" si="3"/>
        <v>-11447.612032811223</v>
      </c>
      <c r="O34" s="459"/>
      <c r="P34" s="459">
        <f t="shared" si="3"/>
        <v>0</v>
      </c>
      <c r="Q34" s="459"/>
      <c r="R34"/>
    </row>
    <row r="35" spans="1:18" ht="15.75">
      <c r="A35" s="452"/>
      <c r="B35" s="463" t="s">
        <v>360</v>
      </c>
      <c r="C35" s="526">
        <v>514</v>
      </c>
      <c r="D35" s="529" t="s">
        <v>628</v>
      </c>
      <c r="E35" s="528">
        <v>2016123.71</v>
      </c>
      <c r="F35" s="459"/>
      <c r="G35" s="459"/>
      <c r="H35" s="459"/>
      <c r="I35" s="459"/>
      <c r="J35" s="459"/>
      <c r="K35" s="459"/>
      <c r="L35" s="459">
        <f t="shared" si="2"/>
        <v>251555.62461235726</v>
      </c>
      <c r="M35" s="459"/>
      <c r="N35" s="459">
        <f t="shared" si="3"/>
        <v>-4359.9150577424234</v>
      </c>
      <c r="O35" s="459"/>
      <c r="P35" s="459">
        <f t="shared" si="3"/>
        <v>0</v>
      </c>
      <c r="Q35" s="459"/>
      <c r="R35"/>
    </row>
    <row r="36" spans="1:18" ht="15.75">
      <c r="A36" s="452"/>
      <c r="B36" s="463" t="s">
        <v>360</v>
      </c>
      <c r="C36" s="526">
        <v>535</v>
      </c>
      <c r="D36" s="529" t="s">
        <v>629</v>
      </c>
      <c r="E36" s="528">
        <v>1784767.31</v>
      </c>
      <c r="F36" s="459"/>
      <c r="G36" s="459"/>
      <c r="H36" s="459"/>
      <c r="I36" s="459"/>
      <c r="J36" s="459"/>
      <c r="K36" s="459"/>
      <c r="L36" s="459">
        <f t="shared" si="2"/>
        <v>222688.84256847846</v>
      </c>
      <c r="M36" s="459"/>
      <c r="N36" s="459">
        <f t="shared" si="3"/>
        <v>-3859.6013879701063</v>
      </c>
      <c r="O36" s="459"/>
      <c r="P36" s="459">
        <f t="shared" si="3"/>
        <v>0</v>
      </c>
      <c r="Q36" s="459"/>
      <c r="R36"/>
    </row>
    <row r="37" spans="1:18" ht="15.75">
      <c r="A37" s="452"/>
      <c r="B37" s="463" t="s">
        <v>360</v>
      </c>
      <c r="C37" s="526">
        <v>536</v>
      </c>
      <c r="D37" s="529" t="s">
        <v>630</v>
      </c>
      <c r="E37" s="528">
        <v>0</v>
      </c>
      <c r="F37" s="459"/>
      <c r="G37" s="459"/>
      <c r="H37" s="459"/>
      <c r="I37" s="459"/>
      <c r="J37" s="459"/>
      <c r="K37" s="459"/>
      <c r="L37" s="459">
        <f t="shared" si="2"/>
        <v>0</v>
      </c>
      <c r="M37" s="459"/>
      <c r="N37" s="459">
        <f t="shared" si="3"/>
        <v>0</v>
      </c>
      <c r="O37" s="459"/>
      <c r="P37" s="459">
        <f t="shared" si="3"/>
        <v>0</v>
      </c>
      <c r="Q37" s="459"/>
      <c r="R37"/>
    </row>
    <row r="38" spans="1:18" ht="15.75">
      <c r="A38" s="452"/>
      <c r="B38" s="463" t="s">
        <v>360</v>
      </c>
      <c r="C38" s="526">
        <v>537</v>
      </c>
      <c r="D38" s="529" t="s">
        <v>631</v>
      </c>
      <c r="E38" s="528">
        <v>3027026.13</v>
      </c>
      <c r="F38" s="459"/>
      <c r="G38" s="459"/>
      <c r="H38" s="459"/>
      <c r="I38" s="459"/>
      <c r="J38" s="459"/>
      <c r="K38" s="459"/>
      <c r="L38" s="459">
        <f t="shared" si="2"/>
        <v>377687.85966515745</v>
      </c>
      <c r="M38" s="459"/>
      <c r="N38" s="459">
        <f t="shared" si="3"/>
        <v>-6546.015375399149</v>
      </c>
      <c r="O38" s="459"/>
      <c r="P38" s="459">
        <f t="shared" si="3"/>
        <v>0</v>
      </c>
      <c r="Q38" s="459"/>
      <c r="R38"/>
    </row>
    <row r="39" spans="1:18" ht="15.75">
      <c r="A39" s="452"/>
      <c r="B39" s="463" t="s">
        <v>360</v>
      </c>
      <c r="C39" s="526">
        <v>538</v>
      </c>
      <c r="D39" s="529" t="s">
        <v>632</v>
      </c>
      <c r="E39" s="528">
        <v>256631.17</v>
      </c>
      <c r="F39" s="459"/>
      <c r="G39" s="459"/>
      <c r="H39" s="459"/>
      <c r="I39" s="459"/>
      <c r="J39" s="459"/>
      <c r="K39" s="459"/>
      <c r="L39" s="459">
        <f t="shared" si="2"/>
        <v>32020.363603754278</v>
      </c>
      <c r="M39" s="459"/>
      <c r="N39" s="459">
        <f t="shared" si="3"/>
        <v>-554.97095580957955</v>
      </c>
      <c r="O39" s="459"/>
      <c r="P39" s="459">
        <f t="shared" si="3"/>
        <v>0</v>
      </c>
      <c r="Q39" s="459"/>
      <c r="R39"/>
    </row>
    <row r="40" spans="1:18" ht="15.75">
      <c r="A40" s="452"/>
      <c r="B40" s="463" t="s">
        <v>360</v>
      </c>
      <c r="C40" s="526">
        <v>539</v>
      </c>
      <c r="D40" s="529" t="s">
        <v>633</v>
      </c>
      <c r="E40" s="528">
        <v>2312116.39</v>
      </c>
      <c r="F40" s="459"/>
      <c r="G40" s="459"/>
      <c r="H40" s="459"/>
      <c r="I40" s="459"/>
      <c r="J40" s="459"/>
      <c r="K40" s="459"/>
      <c r="L40" s="459">
        <f t="shared" si="2"/>
        <v>288487.19936085603</v>
      </c>
      <c r="M40" s="459"/>
      <c r="N40" s="459">
        <f t="shared" si="3"/>
        <v>-5000.0062069673559</v>
      </c>
      <c r="O40" s="459"/>
      <c r="P40" s="459">
        <f t="shared" si="3"/>
        <v>0</v>
      </c>
      <c r="Q40" s="459"/>
      <c r="R40"/>
    </row>
    <row r="41" spans="1:18" ht="15.75">
      <c r="A41" s="452"/>
      <c r="B41" s="463" t="s">
        <v>360</v>
      </c>
      <c r="C41" s="526">
        <v>540</v>
      </c>
      <c r="D41" s="529" t="s">
        <v>634</v>
      </c>
      <c r="E41" s="528">
        <v>0</v>
      </c>
      <c r="F41" s="459"/>
      <c r="G41" s="459"/>
      <c r="H41" s="459"/>
      <c r="I41" s="459"/>
      <c r="J41" s="459"/>
      <c r="K41" s="459"/>
      <c r="L41" s="459">
        <f t="shared" si="2"/>
        <v>0</v>
      </c>
      <c r="M41" s="459"/>
      <c r="N41" s="459">
        <f t="shared" si="3"/>
        <v>0</v>
      </c>
      <c r="O41" s="459"/>
      <c r="P41" s="459">
        <f t="shared" si="3"/>
        <v>0</v>
      </c>
      <c r="Q41" s="459"/>
      <c r="R41"/>
    </row>
    <row r="42" spans="1:18" ht="15.75">
      <c r="A42" s="452"/>
      <c r="B42" s="463" t="s">
        <v>360</v>
      </c>
      <c r="C42" s="526">
        <v>541</v>
      </c>
      <c r="D42" s="529" t="s">
        <v>635</v>
      </c>
      <c r="E42" s="528">
        <v>149587.47</v>
      </c>
      <c r="F42" s="459"/>
      <c r="G42" s="459"/>
      <c r="H42" s="459"/>
      <c r="I42" s="459"/>
      <c r="J42" s="459"/>
      <c r="K42" s="459"/>
      <c r="L42" s="459">
        <f t="shared" si="2"/>
        <v>18664.315718023205</v>
      </c>
      <c r="M42" s="459"/>
      <c r="N42" s="459">
        <f t="shared" si="3"/>
        <v>-323.48643075210549</v>
      </c>
      <c r="O42" s="459"/>
      <c r="P42" s="459">
        <f t="shared" si="3"/>
        <v>0</v>
      </c>
      <c r="Q42" s="459"/>
      <c r="R42"/>
    </row>
    <row r="43" spans="1:18" ht="15.75">
      <c r="A43" s="452"/>
      <c r="B43" s="463" t="s">
        <v>360</v>
      </c>
      <c r="C43" s="526">
        <v>542</v>
      </c>
      <c r="D43" s="529" t="s">
        <v>636</v>
      </c>
      <c r="E43" s="528">
        <v>346258.71</v>
      </c>
      <c r="F43" s="459"/>
      <c r="G43" s="459"/>
      <c r="H43" s="459"/>
      <c r="I43" s="459"/>
      <c r="J43" s="459"/>
      <c r="K43" s="459"/>
      <c r="L43" s="459">
        <f t="shared" si="2"/>
        <v>43203.363781441309</v>
      </c>
      <c r="M43" s="459"/>
      <c r="N43" s="459">
        <f t="shared" si="3"/>
        <v>-748.79262424004082</v>
      </c>
      <c r="O43" s="459"/>
      <c r="P43" s="459">
        <f t="shared" si="3"/>
        <v>0</v>
      </c>
      <c r="Q43" s="459"/>
      <c r="R43"/>
    </row>
    <row r="44" spans="1:18" ht="15.75">
      <c r="A44" s="452"/>
      <c r="B44" s="463" t="s">
        <v>360</v>
      </c>
      <c r="C44" s="526">
        <v>543</v>
      </c>
      <c r="D44" s="529" t="s">
        <v>637</v>
      </c>
      <c r="E44" s="528">
        <v>424152.73</v>
      </c>
      <c r="F44" s="459"/>
      <c r="G44" s="459"/>
      <c r="H44" s="459"/>
      <c r="I44" s="459"/>
      <c r="J44" s="459"/>
      <c r="K44" s="459"/>
      <c r="L44" s="459">
        <f t="shared" si="2"/>
        <v>52922.350149925333</v>
      </c>
      <c r="M44" s="459"/>
      <c r="N44" s="459">
        <f t="shared" si="3"/>
        <v>-917.24027902511807</v>
      </c>
      <c r="O44" s="459"/>
      <c r="P44" s="459">
        <f t="shared" si="3"/>
        <v>0</v>
      </c>
      <c r="Q44" s="459"/>
      <c r="R44"/>
    </row>
    <row r="45" spans="1:18" ht="15.75">
      <c r="A45" s="452"/>
      <c r="B45" s="463" t="s">
        <v>360</v>
      </c>
      <c r="C45" s="526">
        <v>544</v>
      </c>
      <c r="D45" s="529" t="s">
        <v>638</v>
      </c>
      <c r="E45" s="528">
        <v>990457.26</v>
      </c>
      <c r="F45" s="459"/>
      <c r="G45" s="459"/>
      <c r="H45" s="459"/>
      <c r="I45" s="459"/>
      <c r="J45" s="459"/>
      <c r="K45" s="459"/>
      <c r="L45" s="459">
        <f t="shared" si="2"/>
        <v>123581.25320154286</v>
      </c>
      <c r="M45" s="459"/>
      <c r="N45" s="459">
        <f t="shared" si="3"/>
        <v>-2141.8871771138997</v>
      </c>
      <c r="O45" s="459"/>
      <c r="P45" s="459">
        <f t="shared" si="3"/>
        <v>0</v>
      </c>
      <c r="Q45" s="459"/>
      <c r="R45"/>
    </row>
    <row r="46" spans="1:18" ht="15.75">
      <c r="A46" s="452"/>
      <c r="B46" s="463" t="s">
        <v>360</v>
      </c>
      <c r="C46" s="526">
        <v>545</v>
      </c>
      <c r="D46" s="529" t="s">
        <v>639</v>
      </c>
      <c r="E46" s="528">
        <v>2595090.69</v>
      </c>
      <c r="F46" s="459"/>
      <c r="G46" s="459"/>
      <c r="H46" s="459"/>
      <c r="I46" s="459"/>
      <c r="J46" s="459"/>
      <c r="K46" s="459"/>
      <c r="L46" s="459">
        <f t="shared" si="2"/>
        <v>323794.44585206691</v>
      </c>
      <c r="M46" s="459"/>
      <c r="N46" s="459">
        <f t="shared" si="3"/>
        <v>-5611.9448025033025</v>
      </c>
      <c r="O46" s="459"/>
      <c r="P46" s="459">
        <f t="shared" si="3"/>
        <v>0</v>
      </c>
      <c r="Q46" s="459"/>
      <c r="R46"/>
    </row>
    <row r="47" spans="1:18" ht="15.75">
      <c r="A47" s="452"/>
      <c r="B47" s="463" t="s">
        <v>360</v>
      </c>
      <c r="C47" s="526">
        <v>546</v>
      </c>
      <c r="D47" s="529" t="s">
        <v>640</v>
      </c>
      <c r="E47" s="528">
        <v>4078577.19</v>
      </c>
      <c r="F47" s="459"/>
      <c r="G47" s="459"/>
      <c r="H47" s="459"/>
      <c r="I47" s="459"/>
      <c r="J47" s="459"/>
      <c r="K47" s="459"/>
      <c r="L47" s="459">
        <f t="shared" si="2"/>
        <v>508891.90354304353</v>
      </c>
      <c r="M47" s="459"/>
      <c r="N47" s="459">
        <f t="shared" si="3"/>
        <v>-8820.0193354433504</v>
      </c>
      <c r="O47" s="459"/>
      <c r="P47" s="459">
        <f t="shared" si="3"/>
        <v>0</v>
      </c>
      <c r="Q47" s="459"/>
      <c r="R47"/>
    </row>
    <row r="48" spans="1:18" ht="15.75">
      <c r="A48" s="452"/>
      <c r="B48" s="463" t="s">
        <v>360</v>
      </c>
      <c r="C48" s="526">
        <v>548</v>
      </c>
      <c r="D48" s="529" t="s">
        <v>641</v>
      </c>
      <c r="E48" s="528">
        <v>12312441.359999999</v>
      </c>
      <c r="F48" s="459"/>
      <c r="G48" s="459"/>
      <c r="H48" s="459"/>
      <c r="I48" s="459"/>
      <c r="J48" s="459"/>
      <c r="K48" s="459"/>
      <c r="L48" s="459">
        <f t="shared" si="2"/>
        <v>1536246.9383477573</v>
      </c>
      <c r="M48" s="459"/>
      <c r="N48" s="459">
        <f t="shared" si="3"/>
        <v>-26625.944735819114</v>
      </c>
      <c r="O48" s="459"/>
      <c r="P48" s="459">
        <f t="shared" si="3"/>
        <v>0</v>
      </c>
      <c r="Q48" s="459"/>
      <c r="R48"/>
    </row>
    <row r="49" spans="1:18" ht="15.75">
      <c r="A49" s="452"/>
      <c r="B49" s="463" t="s">
        <v>360</v>
      </c>
      <c r="C49" s="526">
        <v>549</v>
      </c>
      <c r="D49" s="529" t="s">
        <v>642</v>
      </c>
      <c r="E49" s="528">
        <v>3333450.45</v>
      </c>
      <c r="F49" s="459"/>
      <c r="G49" s="459"/>
      <c r="H49" s="459"/>
      <c r="I49" s="459"/>
      <c r="J49" s="459"/>
      <c r="K49" s="459"/>
      <c r="L49" s="459">
        <f t="shared" si="2"/>
        <v>415921.01015670988</v>
      </c>
      <c r="M49" s="459"/>
      <c r="N49" s="459">
        <f t="shared" si="3"/>
        <v>-7208.6651920745762</v>
      </c>
      <c r="O49" s="459"/>
      <c r="P49" s="459">
        <f t="shared" si="3"/>
        <v>0</v>
      </c>
      <c r="Q49" s="459"/>
      <c r="R49"/>
    </row>
    <row r="50" spans="1:18" ht="15.75">
      <c r="A50" s="452"/>
      <c r="B50" s="463" t="s">
        <v>360</v>
      </c>
      <c r="C50" s="526">
        <v>550</v>
      </c>
      <c r="D50" s="529" t="s">
        <v>643</v>
      </c>
      <c r="E50" s="528">
        <v>8210975.1200000001</v>
      </c>
      <c r="F50" s="459"/>
      <c r="G50" s="459"/>
      <c r="H50" s="459"/>
      <c r="I50" s="459"/>
      <c r="J50" s="459"/>
      <c r="K50" s="459"/>
      <c r="L50" s="459">
        <f t="shared" si="2"/>
        <v>1024499.124107878</v>
      </c>
      <c r="M50" s="459"/>
      <c r="N50" s="459">
        <f t="shared" si="3"/>
        <v>-17756.427290087471</v>
      </c>
      <c r="O50" s="459"/>
      <c r="P50" s="459">
        <f t="shared" si="3"/>
        <v>0</v>
      </c>
      <c r="Q50" s="459"/>
      <c r="R50"/>
    </row>
    <row r="51" spans="1:18" ht="15.75">
      <c r="A51" s="452"/>
      <c r="B51" s="463" t="s">
        <v>360</v>
      </c>
      <c r="C51" s="526">
        <v>551</v>
      </c>
      <c r="D51" s="529" t="s">
        <v>644</v>
      </c>
      <c r="E51" s="528">
        <v>406237.22</v>
      </c>
      <c r="F51" s="459"/>
      <c r="G51" s="459"/>
      <c r="H51" s="459"/>
      <c r="I51" s="459"/>
      <c r="J51" s="459"/>
      <c r="K51" s="459"/>
      <c r="L51" s="459">
        <f t="shared" si="2"/>
        <v>50686.997584035955</v>
      </c>
      <c r="M51" s="459"/>
      <c r="N51" s="459">
        <f t="shared" si="3"/>
        <v>-878.49756624975237</v>
      </c>
      <c r="O51" s="459"/>
      <c r="P51" s="459">
        <f t="shared" si="3"/>
        <v>0</v>
      </c>
      <c r="Q51" s="459"/>
      <c r="R51"/>
    </row>
    <row r="52" spans="1:18" ht="15.75">
      <c r="A52" s="452"/>
      <c r="B52" s="463" t="s">
        <v>360</v>
      </c>
      <c r="C52" s="526">
        <v>552</v>
      </c>
      <c r="D52" s="529" t="s">
        <v>645</v>
      </c>
      <c r="E52" s="528">
        <v>1028586.06</v>
      </c>
      <c r="F52" s="459"/>
      <c r="G52" s="459"/>
      <c r="H52" s="459"/>
      <c r="I52" s="459"/>
      <c r="J52" s="459"/>
      <c r="K52" s="459"/>
      <c r="L52" s="459">
        <f t="shared" si="2"/>
        <v>128338.656753788</v>
      </c>
      <c r="M52" s="459"/>
      <c r="N52" s="459">
        <f t="shared" si="3"/>
        <v>-2224.3416060902096</v>
      </c>
      <c r="O52" s="459"/>
      <c r="P52" s="459">
        <f t="shared" si="3"/>
        <v>0</v>
      </c>
      <c r="Q52" s="459"/>
      <c r="R52"/>
    </row>
    <row r="53" spans="1:18" ht="15.75">
      <c r="A53" s="452"/>
      <c r="B53" s="463" t="s">
        <v>360</v>
      </c>
      <c r="C53" s="526">
        <v>553</v>
      </c>
      <c r="D53" s="529" t="s">
        <v>646</v>
      </c>
      <c r="E53" s="528">
        <v>24748433.84</v>
      </c>
      <c r="F53" s="459"/>
      <c r="G53" s="459"/>
      <c r="H53" s="459"/>
      <c r="I53" s="459"/>
      <c r="J53" s="459"/>
      <c r="K53" s="459"/>
      <c r="L53" s="459">
        <f t="shared" si="2"/>
        <v>3087909.5870554494</v>
      </c>
      <c r="M53" s="459"/>
      <c r="N53" s="459">
        <f t="shared" si="3"/>
        <v>-53519.07168164703</v>
      </c>
      <c r="O53" s="459"/>
      <c r="P53" s="459">
        <f t="shared" si="3"/>
        <v>0</v>
      </c>
      <c r="Q53" s="459"/>
      <c r="R53"/>
    </row>
    <row r="54" spans="1:18" ht="15.75">
      <c r="A54" s="452"/>
      <c r="B54" s="463" t="s">
        <v>360</v>
      </c>
      <c r="C54" s="526">
        <v>554</v>
      </c>
      <c r="D54" s="529" t="s">
        <v>647</v>
      </c>
      <c r="E54" s="528">
        <v>1374825.75</v>
      </c>
      <c r="F54" s="459"/>
      <c r="G54" s="459"/>
      <c r="H54" s="459"/>
      <c r="I54" s="459"/>
      <c r="J54" s="459"/>
      <c r="K54" s="459"/>
      <c r="L54" s="459">
        <f t="shared" si="2"/>
        <v>171539.64737332641</v>
      </c>
      <c r="M54" s="459"/>
      <c r="N54" s="459">
        <f t="shared" si="3"/>
        <v>-2973.0930991318087</v>
      </c>
      <c r="O54" s="459"/>
      <c r="P54" s="459">
        <f t="shared" si="3"/>
        <v>0</v>
      </c>
      <c r="Q54" s="459"/>
      <c r="R54"/>
    </row>
    <row r="55" spans="1:18" ht="15.75">
      <c r="A55" s="452"/>
      <c r="B55" s="463" t="s">
        <v>360</v>
      </c>
      <c r="C55" s="526">
        <v>556</v>
      </c>
      <c r="D55" s="529" t="s">
        <v>648</v>
      </c>
      <c r="E55" s="528">
        <v>28612</v>
      </c>
      <c r="F55" s="459"/>
      <c r="G55" s="459"/>
      <c r="H55" s="459"/>
      <c r="I55" s="459"/>
      <c r="J55" s="459"/>
      <c r="K55" s="459"/>
      <c r="L55" s="459">
        <f t="shared" si="2"/>
        <v>3569.9741517393131</v>
      </c>
      <c r="M55" s="459"/>
      <c r="N55" s="459">
        <f t="shared" si="3"/>
        <v>-61.874124595323678</v>
      </c>
      <c r="O55" s="459"/>
      <c r="P55" s="459">
        <f t="shared" si="3"/>
        <v>0</v>
      </c>
      <c r="Q55" s="459"/>
      <c r="R55"/>
    </row>
    <row r="56" spans="1:18" ht="15.75">
      <c r="A56" s="452"/>
      <c r="B56" s="463"/>
      <c r="C56" s="526"/>
      <c r="D56" s="52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/>
    </row>
    <row r="57" spans="1:18" ht="15.75">
      <c r="A57" s="452">
        <f>+A25+1</f>
        <v>14</v>
      </c>
      <c r="B57" s="460" t="s">
        <v>582</v>
      </c>
      <c r="C57" s="526"/>
      <c r="D57" s="529"/>
      <c r="E57" s="459">
        <f>+Lead!D27</f>
        <v>591568.35</v>
      </c>
      <c r="F57" s="459">
        <f>+Lead!E27</f>
        <v>0</v>
      </c>
      <c r="G57" s="459">
        <f>+Lead!F27</f>
        <v>591568.35</v>
      </c>
      <c r="H57" s="459">
        <f>+Lead!G27</f>
        <v>0</v>
      </c>
      <c r="I57" s="459">
        <f>+Lead!H27</f>
        <v>591568.35</v>
      </c>
      <c r="J57" s="459">
        <f>+Lead!I27</f>
        <v>0</v>
      </c>
      <c r="K57" s="459">
        <f>+Lead!J27</f>
        <v>591568.35</v>
      </c>
      <c r="L57" s="459">
        <f>+Lead!K27</f>
        <v>0</v>
      </c>
      <c r="M57" s="459">
        <f>+Lead!L27</f>
        <v>591568.35</v>
      </c>
      <c r="N57" s="459">
        <f>+Lead!M27</f>
        <v>0</v>
      </c>
      <c r="O57" s="459">
        <f>+Lead!N27</f>
        <v>591568.35</v>
      </c>
      <c r="P57" s="459">
        <f>+Lead!O27</f>
        <v>0</v>
      </c>
      <c r="Q57" s="459">
        <f>+Lead!P27</f>
        <v>0</v>
      </c>
      <c r="R57"/>
    </row>
    <row r="58" spans="1:18" ht="15.75">
      <c r="A58" s="452">
        <f t="shared" si="0"/>
        <v>15</v>
      </c>
      <c r="B58" s="460" t="s">
        <v>583</v>
      </c>
      <c r="C58" s="526">
        <v>4561</v>
      </c>
      <c r="D58" s="529">
        <v>4561</v>
      </c>
      <c r="E58" s="459">
        <f>+Lead!D28</f>
        <v>-4679929.3499999996</v>
      </c>
      <c r="F58" s="459">
        <f>+Lead!E28</f>
        <v>0</v>
      </c>
      <c r="G58" s="459">
        <f>+Lead!F28</f>
        <v>-4679929.3499999996</v>
      </c>
      <c r="H58" s="459">
        <f>+Lead!G28</f>
        <v>0</v>
      </c>
      <c r="I58" s="459">
        <f>+Lead!H28</f>
        <v>-4679929.3499999996</v>
      </c>
      <c r="J58" s="459">
        <f>+Lead!I28</f>
        <v>0</v>
      </c>
      <c r="K58" s="459">
        <f>+Lead!J28</f>
        <v>-4679929.3499999996</v>
      </c>
      <c r="L58" s="459">
        <f>+Lead!K28</f>
        <v>-286443.41059209127</v>
      </c>
      <c r="M58" s="459">
        <f>+Lead!L28</f>
        <v>-4966372.7605920909</v>
      </c>
      <c r="N58" s="459">
        <f>+Lead!M28</f>
        <v>-149371.90150479879</v>
      </c>
      <c r="O58" s="459">
        <f>+Lead!N28</f>
        <v>-5115744.6620968897</v>
      </c>
      <c r="P58" s="459">
        <f>+Lead!O28</f>
        <v>0</v>
      </c>
      <c r="Q58" s="459">
        <f>+Lead!P28</f>
        <v>0</v>
      </c>
      <c r="R58"/>
    </row>
    <row r="59" spans="1:18" ht="15.75">
      <c r="A59" s="452">
        <f t="shared" si="0"/>
        <v>16</v>
      </c>
      <c r="B59" s="460" t="s">
        <v>584</v>
      </c>
      <c r="C59" s="526">
        <v>555</v>
      </c>
      <c r="D59" s="529"/>
      <c r="E59" s="459">
        <f>+Lead!D29</f>
        <v>0</v>
      </c>
      <c r="F59" s="459">
        <f>+Lead!E29</f>
        <v>4094424</v>
      </c>
      <c r="G59" s="459">
        <f>+Lead!F29</f>
        <v>4094424</v>
      </c>
      <c r="H59" s="459">
        <f>+Lead!G29</f>
        <v>0</v>
      </c>
      <c r="I59" s="459">
        <f>+Lead!H29</f>
        <v>4094424</v>
      </c>
      <c r="J59" s="459">
        <f>+Lead!I29</f>
        <v>0</v>
      </c>
      <c r="K59" s="459">
        <f>+Lead!J29</f>
        <v>4094424</v>
      </c>
      <c r="L59" s="459">
        <f>+Lead!K29</f>
        <v>0</v>
      </c>
      <c r="M59" s="459">
        <f>+Lead!L29</f>
        <v>4094424.0000000005</v>
      </c>
      <c r="N59" s="459">
        <f>+Lead!M29</f>
        <v>11217.600000000093</v>
      </c>
      <c r="O59" s="459">
        <f>+Lead!N29</f>
        <v>4105641.6000000006</v>
      </c>
      <c r="P59" s="459">
        <f>+Lead!O29</f>
        <v>0</v>
      </c>
      <c r="Q59" s="459">
        <f>+Lead!P29</f>
        <v>0</v>
      </c>
      <c r="R59"/>
    </row>
    <row r="60" spans="1:18" ht="15.75">
      <c r="A60" s="452">
        <f t="shared" si="0"/>
        <v>17</v>
      </c>
      <c r="B60" s="460" t="s">
        <v>580</v>
      </c>
      <c r="C60" s="526"/>
      <c r="D60" s="529"/>
      <c r="E60" s="461">
        <f t="shared" ref="E60:Q60" si="4">SUM(E22:E59)</f>
        <v>960641733.23000026</v>
      </c>
      <c r="F60" s="461">
        <f t="shared" si="4"/>
        <v>10300467.056084067</v>
      </c>
      <c r="G60" s="461">
        <f t="shared" si="4"/>
        <v>862419369.32608414</v>
      </c>
      <c r="H60" s="461">
        <f t="shared" si="4"/>
        <v>0</v>
      </c>
      <c r="I60" s="461">
        <f t="shared" si="4"/>
        <v>862419369.32608414</v>
      </c>
      <c r="J60" s="461">
        <f t="shared" si="4"/>
        <v>0</v>
      </c>
      <c r="K60" s="461">
        <f t="shared" si="4"/>
        <v>862419369.32608414</v>
      </c>
      <c r="L60" s="461">
        <f t="shared" si="4"/>
        <v>203035064.73371238</v>
      </c>
      <c r="M60" s="461">
        <f t="shared" si="4"/>
        <v>1051913832.1654594</v>
      </c>
      <c r="N60" s="461">
        <f t="shared" si="4"/>
        <v>170996576.7601153</v>
      </c>
      <c r="O60" s="461">
        <f t="shared" si="4"/>
        <v>1223145092.1062064</v>
      </c>
      <c r="P60" s="461">
        <f t="shared" si="4"/>
        <v>0</v>
      </c>
      <c r="Q60" s="461">
        <f t="shared" si="4"/>
        <v>0</v>
      </c>
      <c r="R60"/>
    </row>
    <row r="61" spans="1:18" ht="15.75">
      <c r="A61" s="452">
        <f t="shared" si="0"/>
        <v>18</v>
      </c>
      <c r="B61" s="464" t="s">
        <v>581</v>
      </c>
      <c r="C61" s="526"/>
      <c r="D61" s="529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/>
    </row>
    <row r="62" spans="1:18" ht="15.75">
      <c r="A62" s="452">
        <f t="shared" si="0"/>
        <v>19</v>
      </c>
      <c r="B62" s="465" t="s">
        <v>585</v>
      </c>
      <c r="C62" s="526">
        <v>4081</v>
      </c>
      <c r="D62" s="529" t="s">
        <v>649</v>
      </c>
      <c r="E62" s="466">
        <f>+Lead!D32</f>
        <v>181272.38344289997</v>
      </c>
      <c r="F62" s="466">
        <f>+Lead!E32</f>
        <v>0</v>
      </c>
      <c r="G62" s="466">
        <f>+Lead!F32</f>
        <v>181272.38344289997</v>
      </c>
      <c r="H62" s="466">
        <f>+Lead!G32</f>
        <v>0</v>
      </c>
      <c r="I62" s="466">
        <f>+Lead!H32</f>
        <v>181272.38344289997</v>
      </c>
      <c r="J62" s="466">
        <f>+Lead!I32</f>
        <v>0</v>
      </c>
      <c r="K62" s="466">
        <f>+Lead!J32</f>
        <v>181272.38344289997</v>
      </c>
      <c r="L62" s="466">
        <f>+Lead!K32</f>
        <v>11095.099065874063</v>
      </c>
      <c r="M62" s="466">
        <f>+Lead!L32</f>
        <v>192367.48250877403</v>
      </c>
      <c r="N62" s="466">
        <f>+Lead!M32</f>
        <v>5785.7712328868756</v>
      </c>
      <c r="O62" s="466">
        <f>+Lead!N32</f>
        <v>198153.25374166091</v>
      </c>
      <c r="P62" s="466">
        <f>+Lead!O32</f>
        <v>0</v>
      </c>
      <c r="Q62" s="466">
        <f>+Lead!P32</f>
        <v>0</v>
      </c>
      <c r="R62"/>
    </row>
    <row r="63" spans="1:18" ht="15.75">
      <c r="A63" s="452">
        <f t="shared" si="0"/>
        <v>20</v>
      </c>
      <c r="B63" s="460" t="s">
        <v>586</v>
      </c>
      <c r="C63" s="526"/>
      <c r="D63" s="529"/>
      <c r="E63" s="467">
        <f t="shared" ref="E63:Q63" si="5">SUM(E60:E62)</f>
        <v>960823005.61344314</v>
      </c>
      <c r="F63" s="467">
        <f t="shared" si="5"/>
        <v>10300467.056084067</v>
      </c>
      <c r="G63" s="467">
        <f t="shared" si="5"/>
        <v>862600641.70952702</v>
      </c>
      <c r="H63" s="467">
        <f t="shared" si="5"/>
        <v>0</v>
      </c>
      <c r="I63" s="467">
        <f t="shared" si="5"/>
        <v>862600641.70952702</v>
      </c>
      <c r="J63" s="467">
        <f t="shared" si="5"/>
        <v>0</v>
      </c>
      <c r="K63" s="467">
        <f t="shared" si="5"/>
        <v>862600641.70952702</v>
      </c>
      <c r="L63" s="467">
        <f t="shared" si="5"/>
        <v>203046159.83277825</v>
      </c>
      <c r="M63" s="467">
        <f t="shared" si="5"/>
        <v>1052106199.6479682</v>
      </c>
      <c r="N63" s="467">
        <f t="shared" si="5"/>
        <v>171002362.53134817</v>
      </c>
      <c r="O63" s="467">
        <f t="shared" si="5"/>
        <v>1223343245.3599482</v>
      </c>
      <c r="P63" s="467">
        <f t="shared" si="5"/>
        <v>0</v>
      </c>
      <c r="Q63" s="467">
        <f t="shared" si="5"/>
        <v>0</v>
      </c>
      <c r="R63"/>
    </row>
    <row r="64" spans="1:18" ht="15.75">
      <c r="A64" s="452">
        <f t="shared" si="0"/>
        <v>21</v>
      </c>
      <c r="B64" s="465" t="s">
        <v>581</v>
      </c>
      <c r="C64" s="526"/>
      <c r="D64" s="529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/>
    </row>
    <row r="65" spans="1:18" ht="15.75">
      <c r="A65" s="452">
        <f t="shared" si="0"/>
        <v>22</v>
      </c>
      <c r="B65" s="464" t="s">
        <v>587</v>
      </c>
      <c r="C65" s="526">
        <v>4091</v>
      </c>
      <c r="D65" s="529" t="s">
        <v>610</v>
      </c>
      <c r="E65" s="468">
        <f>+Lead!D35</f>
        <v>-178983036.677223</v>
      </c>
      <c r="F65" s="468">
        <f>+Lead!E35</f>
        <v>-2163098.0817776541</v>
      </c>
      <c r="G65" s="468">
        <f>+Lead!F35</f>
        <v>-181146134.75900066</v>
      </c>
      <c r="H65" s="468">
        <f>+Lead!G35</f>
        <v>0</v>
      </c>
      <c r="I65" s="468">
        <f>+Lead!H35</f>
        <v>-181146134.75900066</v>
      </c>
      <c r="J65" s="468">
        <f>+Lead!I35</f>
        <v>0</v>
      </c>
      <c r="K65" s="468">
        <f>+Lead!J35</f>
        <v>-181146134.75900066</v>
      </c>
      <c r="L65" s="468">
        <f>+Lead!K35</f>
        <v>-39796167.167072624</v>
      </c>
      <c r="M65" s="468">
        <f>+Lead!L35</f>
        <v>-220942301.92607331</v>
      </c>
      <c r="N65" s="468">
        <f>+Lead!M35</f>
        <v>-38351939.373249665</v>
      </c>
      <c r="O65" s="468">
        <f>+Lead!N35</f>
        <v>-259294241.29932287</v>
      </c>
      <c r="P65" s="468">
        <f>+Lead!O35</f>
        <v>0</v>
      </c>
      <c r="Q65" s="468">
        <f>+Lead!P35</f>
        <v>0</v>
      </c>
      <c r="R65"/>
    </row>
    <row r="66" spans="1:18" ht="16.5" thickBot="1">
      <c r="A66" s="452">
        <f t="shared" si="0"/>
        <v>23</v>
      </c>
      <c r="B66" s="464" t="s">
        <v>588</v>
      </c>
      <c r="C66" s="526"/>
      <c r="D66" s="527"/>
      <c r="E66" s="470">
        <f t="shared" ref="E66:Q66" si="6">-E63-E65</f>
        <v>-781839968.93622017</v>
      </c>
      <c r="F66" s="470">
        <f t="shared" si="6"/>
        <v>-8137368.974306412</v>
      </c>
      <c r="G66" s="470">
        <f t="shared" si="6"/>
        <v>-681454506.95052636</v>
      </c>
      <c r="H66" s="470">
        <f t="shared" si="6"/>
        <v>0</v>
      </c>
      <c r="I66" s="470">
        <f t="shared" si="6"/>
        <v>-681454506.95052636</v>
      </c>
      <c r="J66" s="470">
        <f t="shared" si="6"/>
        <v>0</v>
      </c>
      <c r="K66" s="470">
        <f t="shared" si="6"/>
        <v>-681454506.95052636</v>
      </c>
      <c r="L66" s="470">
        <f t="shared" si="6"/>
        <v>-163249992.66570562</v>
      </c>
      <c r="M66" s="470">
        <f t="shared" si="6"/>
        <v>-831163897.72189486</v>
      </c>
      <c r="N66" s="470">
        <f t="shared" si="6"/>
        <v>-132650423.1580985</v>
      </c>
      <c r="O66" s="470">
        <f t="shared" si="6"/>
        <v>-964049004.06062531</v>
      </c>
      <c r="P66" s="470">
        <f t="shared" si="6"/>
        <v>0</v>
      </c>
      <c r="Q66" s="470">
        <f t="shared" si="6"/>
        <v>0</v>
      </c>
      <c r="R66"/>
    </row>
    <row r="67" spans="1:18" ht="13.5" thickTop="1">
      <c r="A67" s="13"/>
      <c r="B67"/>
      <c r="C67" s="52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>
      <c r="A68" s="13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 s="13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>
      <c r="A70" s="13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>
      <c r="A71" s="13"/>
      <c r="B71"/>
      <c r="C71"/>
      <c r="D71"/>
      <c r="E71"/>
      <c r="F71"/>
      <c r="G71"/>
      <c r="H71"/>
      <c r="I71"/>
      <c r="J71"/>
      <c r="K71"/>
      <c r="M71" s="520"/>
    </row>
    <row r="72" spans="1:18">
      <c r="A72" s="13"/>
      <c r="B72"/>
      <c r="C72"/>
      <c r="D72"/>
      <c r="E72"/>
      <c r="F72"/>
      <c r="G72"/>
      <c r="H72"/>
      <c r="I72"/>
      <c r="J72"/>
      <c r="K72"/>
    </row>
    <row r="73" spans="1:18">
      <c r="A73" s="13"/>
      <c r="B73"/>
      <c r="C73"/>
      <c r="D73"/>
      <c r="E73"/>
      <c r="F73"/>
      <c r="G73"/>
      <c r="H73"/>
      <c r="I73"/>
      <c r="J73"/>
      <c r="K73"/>
    </row>
    <row r="74" spans="1:18">
      <c r="A74" s="13"/>
      <c r="B74"/>
      <c r="C74"/>
      <c r="D74"/>
      <c r="E74"/>
      <c r="F74"/>
      <c r="G74"/>
      <c r="H74"/>
      <c r="I74"/>
      <c r="J74"/>
      <c r="K74"/>
    </row>
    <row r="75" spans="1:18">
      <c r="A75" s="13"/>
      <c r="B75"/>
      <c r="C75"/>
      <c r="D75"/>
      <c r="E75"/>
      <c r="F75"/>
      <c r="G75"/>
      <c r="H75"/>
      <c r="I75"/>
      <c r="J75"/>
      <c r="K75"/>
    </row>
    <row r="76" spans="1:18">
      <c r="A76" s="13"/>
      <c r="B76"/>
      <c r="C76"/>
      <c r="D76"/>
      <c r="E76"/>
      <c r="F76"/>
      <c r="G76"/>
      <c r="H76"/>
      <c r="I76"/>
      <c r="J76"/>
      <c r="K76"/>
    </row>
    <row r="77" spans="1:18">
      <c r="A77" s="13"/>
      <c r="B77"/>
      <c r="C77"/>
      <c r="D77"/>
      <c r="E77"/>
      <c r="F77"/>
      <c r="G77"/>
      <c r="H77"/>
      <c r="I77"/>
      <c r="J77"/>
      <c r="K77"/>
    </row>
    <row r="78" spans="1:18" ht="15">
      <c r="A78" s="13"/>
      <c r="B78"/>
      <c r="C78" s="521"/>
      <c r="D78" s="37"/>
      <c r="E78"/>
      <c r="F78"/>
      <c r="G78"/>
      <c r="H78"/>
      <c r="I78"/>
      <c r="J78"/>
      <c r="K78"/>
    </row>
    <row r="79" spans="1:18" ht="15">
      <c r="A79" s="13"/>
      <c r="B79"/>
      <c r="C79" s="521"/>
      <c r="D79" s="37"/>
      <c r="E79"/>
      <c r="F79"/>
      <c r="G79"/>
      <c r="H79"/>
      <c r="I79"/>
      <c r="J79"/>
      <c r="K79"/>
    </row>
    <row r="80" spans="1:18" ht="15">
      <c r="A80" s="13"/>
      <c r="B80"/>
      <c r="C80" s="521"/>
      <c r="D80" s="37"/>
      <c r="E80"/>
      <c r="F80"/>
      <c r="G80"/>
      <c r="H80"/>
      <c r="I80"/>
      <c r="J80"/>
      <c r="K80"/>
    </row>
    <row r="81" spans="1:11">
      <c r="A81" s="13"/>
      <c r="B81"/>
      <c r="C81"/>
      <c r="D81"/>
      <c r="E81"/>
      <c r="F81"/>
      <c r="G81"/>
      <c r="H81"/>
      <c r="I81"/>
      <c r="J81"/>
      <c r="K81"/>
    </row>
    <row r="82" spans="1:11">
      <c r="A82" s="13"/>
      <c r="B82"/>
      <c r="C82"/>
      <c r="D82"/>
      <c r="E82"/>
      <c r="F82"/>
      <c r="G82"/>
      <c r="H82"/>
      <c r="I82"/>
      <c r="J82"/>
      <c r="K82"/>
    </row>
    <row r="83" spans="1:11">
      <c r="A83" s="13"/>
      <c r="B83"/>
      <c r="C83"/>
      <c r="D83"/>
      <c r="E83"/>
      <c r="F83"/>
      <c r="G83"/>
      <c r="H83"/>
      <c r="I83"/>
      <c r="J83"/>
      <c r="K83"/>
    </row>
    <row r="84" spans="1:11">
      <c r="A84" s="13"/>
      <c r="B84"/>
      <c r="C84"/>
      <c r="D84"/>
      <c r="E84"/>
      <c r="F84"/>
      <c r="G84"/>
      <c r="H84"/>
      <c r="I84"/>
      <c r="J84"/>
      <c r="K84"/>
    </row>
    <row r="85" spans="1:11">
      <c r="A85" s="13"/>
      <c r="B85"/>
      <c r="C85"/>
      <c r="D85"/>
      <c r="E85"/>
      <c r="F85"/>
      <c r="G85"/>
      <c r="H85"/>
      <c r="I85"/>
      <c r="J85"/>
      <c r="K85"/>
    </row>
    <row r="86" spans="1:11">
      <c r="A86" s="13"/>
      <c r="B86"/>
      <c r="C86"/>
      <c r="D86"/>
      <c r="E86"/>
      <c r="F86"/>
      <c r="G86"/>
      <c r="H86"/>
      <c r="I86"/>
      <c r="J86"/>
      <c r="K86"/>
    </row>
    <row r="87" spans="1:11">
      <c r="A87" s="13"/>
      <c r="B87"/>
      <c r="C87"/>
      <c r="D87"/>
      <c r="E87"/>
      <c r="F87"/>
      <c r="G87"/>
      <c r="H87"/>
      <c r="I87"/>
      <c r="J87"/>
      <c r="K87"/>
    </row>
    <row r="88" spans="1:11">
      <c r="A88" s="13"/>
      <c r="B88"/>
      <c r="C88"/>
      <c r="D88"/>
      <c r="E88"/>
      <c r="F88"/>
      <c r="G88"/>
      <c r="H88"/>
      <c r="I88"/>
      <c r="J88"/>
      <c r="K88"/>
    </row>
    <row r="89" spans="1:11">
      <c r="A89" s="13"/>
      <c r="B89"/>
      <c r="C89"/>
      <c r="D89"/>
      <c r="E89"/>
      <c r="F89"/>
      <c r="G89"/>
      <c r="H89"/>
      <c r="I89"/>
      <c r="J89"/>
      <c r="K89"/>
    </row>
    <row r="90" spans="1:11">
      <c r="A90" s="13"/>
      <c r="B90"/>
      <c r="C90"/>
      <c r="D90"/>
      <c r="E90"/>
      <c r="F90"/>
      <c r="G90"/>
      <c r="H90"/>
      <c r="I90"/>
      <c r="J90"/>
      <c r="K90"/>
    </row>
    <row r="91" spans="1:11">
      <c r="A91" s="13"/>
      <c r="B91"/>
      <c r="C91"/>
      <c r="D91"/>
      <c r="E91"/>
      <c r="F91"/>
      <c r="G91"/>
      <c r="H91"/>
      <c r="I91"/>
      <c r="J91"/>
      <c r="K91"/>
    </row>
    <row r="92" spans="1:11">
      <c r="A92" s="13"/>
      <c r="B92"/>
      <c r="C92"/>
      <c r="D92"/>
      <c r="E92"/>
      <c r="F92"/>
      <c r="G92"/>
      <c r="H92"/>
      <c r="I92"/>
      <c r="J92"/>
      <c r="K92"/>
    </row>
    <row r="93" spans="1:11">
      <c r="A93" s="13"/>
      <c r="B93"/>
      <c r="C93"/>
      <c r="D93"/>
      <c r="E93"/>
      <c r="F93"/>
      <c r="G93"/>
      <c r="H93"/>
      <c r="I93"/>
      <c r="J93"/>
      <c r="K93"/>
    </row>
    <row r="94" spans="1:11">
      <c r="A94" s="13"/>
      <c r="B94"/>
      <c r="C94"/>
      <c r="D94"/>
      <c r="E94"/>
      <c r="F94"/>
      <c r="G94"/>
      <c r="H94"/>
      <c r="I94"/>
      <c r="J94"/>
      <c r="K94"/>
    </row>
    <row r="95" spans="1:11">
      <c r="A95" s="13"/>
      <c r="B95"/>
      <c r="C95"/>
      <c r="D95"/>
      <c r="E95"/>
      <c r="F95"/>
      <c r="G95"/>
      <c r="H95"/>
      <c r="I95"/>
      <c r="J95"/>
      <c r="K95"/>
    </row>
    <row r="96" spans="1:11">
      <c r="A96" s="13"/>
      <c r="B96"/>
      <c r="C96"/>
      <c r="D96"/>
      <c r="E96"/>
      <c r="F96"/>
      <c r="G96"/>
      <c r="H96"/>
      <c r="I96"/>
      <c r="J96"/>
      <c r="K96"/>
    </row>
    <row r="97" spans="1:11">
      <c r="A97" s="13"/>
      <c r="B97"/>
      <c r="C97"/>
      <c r="D97"/>
      <c r="E97"/>
      <c r="F97"/>
      <c r="G97"/>
      <c r="H97"/>
      <c r="I97"/>
      <c r="J97"/>
      <c r="K97"/>
    </row>
    <row r="98" spans="1:11">
      <c r="A98" s="13"/>
      <c r="B98"/>
      <c r="C98"/>
      <c r="D98"/>
      <c r="E98"/>
      <c r="F98"/>
      <c r="G98"/>
      <c r="H98"/>
      <c r="I98"/>
      <c r="J98"/>
      <c r="K98"/>
    </row>
    <row r="99" spans="1:11">
      <c r="A99" s="13"/>
      <c r="B99"/>
      <c r="C99"/>
      <c r="D99"/>
      <c r="E99"/>
      <c r="F99"/>
      <c r="G99"/>
      <c r="H99"/>
      <c r="I99"/>
      <c r="J99"/>
      <c r="K99"/>
    </row>
    <row r="100" spans="1:11">
      <c r="A100" s="13"/>
      <c r="B100"/>
      <c r="C100"/>
      <c r="D100"/>
      <c r="E100"/>
      <c r="F100"/>
      <c r="G100"/>
      <c r="H100"/>
      <c r="I100"/>
      <c r="J100"/>
      <c r="K100"/>
    </row>
    <row r="101" spans="1:11">
      <c r="A101" s="13"/>
      <c r="B101"/>
      <c r="C101"/>
      <c r="D101"/>
      <c r="E101"/>
      <c r="F101"/>
      <c r="G101"/>
      <c r="H101"/>
      <c r="I101"/>
      <c r="J101"/>
      <c r="K101"/>
    </row>
    <row r="102" spans="1:11">
      <c r="A102" s="13"/>
      <c r="B102"/>
      <c r="C102"/>
      <c r="D102"/>
      <c r="E102"/>
      <c r="F102"/>
      <c r="G102"/>
      <c r="H102"/>
      <c r="I102"/>
      <c r="J102"/>
      <c r="K102"/>
    </row>
    <row r="103" spans="1:11">
      <c r="A103" s="13"/>
      <c r="B103"/>
      <c r="C103"/>
      <c r="D103"/>
      <c r="E103"/>
      <c r="F103"/>
      <c r="G103"/>
      <c r="H103"/>
      <c r="I103"/>
      <c r="J103"/>
      <c r="K103"/>
    </row>
    <row r="104" spans="1:11">
      <c r="A104" s="13"/>
      <c r="B104"/>
      <c r="C104"/>
      <c r="D104"/>
      <c r="E104"/>
      <c r="F104"/>
      <c r="G104"/>
      <c r="H104"/>
      <c r="I104"/>
      <c r="J104"/>
      <c r="K104"/>
    </row>
    <row r="105" spans="1:11">
      <c r="A105" s="13"/>
      <c r="B105"/>
      <c r="C105"/>
      <c r="D105"/>
      <c r="E105"/>
      <c r="F105"/>
      <c r="G105"/>
      <c r="H105"/>
      <c r="I105"/>
      <c r="J105"/>
      <c r="K105"/>
    </row>
    <row r="106" spans="1:11">
      <c r="A106" s="13"/>
      <c r="B106"/>
      <c r="C106"/>
      <c r="D106"/>
      <c r="E106"/>
      <c r="F106"/>
      <c r="G106"/>
      <c r="H106"/>
      <c r="I106"/>
      <c r="J106"/>
      <c r="K106"/>
    </row>
    <row r="107" spans="1:11">
      <c r="A107" s="13"/>
      <c r="B107"/>
      <c r="C107"/>
      <c r="D107"/>
      <c r="E107"/>
      <c r="F107"/>
      <c r="G107"/>
      <c r="H107"/>
      <c r="I107"/>
      <c r="J107"/>
      <c r="K107"/>
    </row>
    <row r="108" spans="1:11">
      <c r="A108" s="13"/>
      <c r="B108"/>
      <c r="C108"/>
      <c r="D108"/>
      <c r="E108"/>
      <c r="F108"/>
      <c r="G108"/>
      <c r="H108"/>
      <c r="I108"/>
      <c r="J108"/>
      <c r="K108"/>
    </row>
    <row r="109" spans="1:11">
      <c r="A109" s="13"/>
      <c r="B109"/>
      <c r="C109"/>
      <c r="D109"/>
      <c r="E109"/>
      <c r="F109"/>
      <c r="G109"/>
      <c r="H109"/>
      <c r="I109"/>
      <c r="J109"/>
      <c r="K109"/>
    </row>
    <row r="110" spans="1:11">
      <c r="A110" s="13"/>
      <c r="B110"/>
      <c r="C110"/>
      <c r="D110"/>
      <c r="E110"/>
      <c r="F110"/>
      <c r="G110"/>
      <c r="H110"/>
      <c r="I110"/>
      <c r="J110"/>
      <c r="K110"/>
    </row>
    <row r="111" spans="1:11">
      <c r="A111" s="13"/>
      <c r="B111"/>
      <c r="C111"/>
      <c r="D111"/>
      <c r="E111"/>
      <c r="F111"/>
      <c r="G111"/>
      <c r="H111"/>
      <c r="I111"/>
      <c r="J111"/>
      <c r="K111"/>
    </row>
    <row r="112" spans="1:11">
      <c r="A112" s="13"/>
      <c r="B112"/>
      <c r="C112"/>
      <c r="D112"/>
      <c r="E112"/>
      <c r="F112"/>
      <c r="G112"/>
      <c r="H112"/>
      <c r="I112"/>
      <c r="J112"/>
      <c r="K112"/>
    </row>
    <row r="113" spans="1:11">
      <c r="A113" s="13"/>
      <c r="B113"/>
      <c r="C113"/>
      <c r="D113"/>
      <c r="E113"/>
      <c r="F113"/>
      <c r="G113"/>
      <c r="H113"/>
      <c r="I113"/>
      <c r="J113"/>
      <c r="K113"/>
    </row>
    <row r="114" spans="1:11">
      <c r="A114" s="13"/>
      <c r="B114"/>
      <c r="C114"/>
      <c r="D114"/>
      <c r="E114"/>
      <c r="F114"/>
      <c r="G114"/>
      <c r="H114"/>
      <c r="I114"/>
      <c r="J114"/>
      <c r="K114"/>
    </row>
    <row r="115" spans="1:11">
      <c r="A115" s="13"/>
      <c r="B115"/>
      <c r="C115"/>
      <c r="D115"/>
      <c r="E115"/>
      <c r="F115"/>
      <c r="G115"/>
      <c r="H115"/>
      <c r="I115"/>
      <c r="J115"/>
      <c r="K115"/>
    </row>
    <row r="116" spans="1:11">
      <c r="A116" s="13"/>
      <c r="B116"/>
      <c r="C116"/>
      <c r="D116"/>
      <c r="E116"/>
      <c r="F116"/>
      <c r="G116"/>
      <c r="H116"/>
      <c r="I116"/>
      <c r="J116"/>
      <c r="K116"/>
    </row>
    <row r="117" spans="1:11">
      <c r="A117" s="13"/>
      <c r="B117"/>
      <c r="C117"/>
      <c r="D117"/>
      <c r="E117"/>
      <c r="F117"/>
      <c r="G117"/>
      <c r="H117"/>
      <c r="I117"/>
      <c r="J117"/>
      <c r="K117"/>
    </row>
    <row r="118" spans="1:11">
      <c r="A118" s="13"/>
      <c r="B118"/>
      <c r="C118"/>
      <c r="D118"/>
      <c r="E118"/>
      <c r="F118"/>
      <c r="G118"/>
      <c r="H118"/>
      <c r="I118"/>
      <c r="J118"/>
      <c r="K118"/>
    </row>
    <row r="119" spans="1:11">
      <c r="A119" s="13"/>
      <c r="B119"/>
      <c r="C119"/>
      <c r="D119"/>
      <c r="E119"/>
      <c r="F119"/>
      <c r="G119"/>
      <c r="H119"/>
      <c r="I119"/>
      <c r="J119"/>
      <c r="K119"/>
    </row>
    <row r="120" spans="1:11">
      <c r="A120" s="13"/>
      <c r="B120"/>
      <c r="C120"/>
      <c r="D120"/>
      <c r="E120"/>
      <c r="F120"/>
      <c r="G120"/>
      <c r="H120"/>
      <c r="I120"/>
      <c r="J120"/>
      <c r="K120"/>
    </row>
    <row r="121" spans="1:11">
      <c r="A121" s="13"/>
      <c r="B121"/>
      <c r="C121"/>
      <c r="D121"/>
      <c r="E121"/>
      <c r="F121"/>
      <c r="G121"/>
      <c r="H121"/>
      <c r="I121"/>
      <c r="J121"/>
      <c r="K121"/>
    </row>
    <row r="122" spans="1:11">
      <c r="A122" s="13"/>
      <c r="B122"/>
      <c r="C122"/>
      <c r="D122"/>
      <c r="E122"/>
      <c r="F122"/>
      <c r="G122"/>
      <c r="H122"/>
      <c r="I122"/>
      <c r="J122"/>
      <c r="K122"/>
    </row>
    <row r="123" spans="1:11">
      <c r="A123" s="13"/>
      <c r="B123"/>
      <c r="C123"/>
      <c r="D123"/>
      <c r="E123"/>
      <c r="F123"/>
      <c r="G123"/>
      <c r="H123"/>
      <c r="I123"/>
      <c r="J123"/>
      <c r="K12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410C52-2C1C-4813-9319-EAE056DBDB7C}"/>
</file>

<file path=customXml/itemProps2.xml><?xml version="1.0" encoding="utf-8"?>
<ds:datastoreItem xmlns:ds="http://schemas.openxmlformats.org/officeDocument/2006/customXml" ds:itemID="{F8D17023-9455-4D29-866D-672E1DDD6207}"/>
</file>

<file path=customXml/itemProps3.xml><?xml version="1.0" encoding="utf-8"?>
<ds:datastoreItem xmlns:ds="http://schemas.openxmlformats.org/officeDocument/2006/customXml" ds:itemID="{0FE3F335-08BE-443E-89B0-1D278F5225DD}"/>
</file>

<file path=customXml/itemProps4.xml><?xml version="1.0" encoding="utf-8"?>
<ds:datastoreItem xmlns:ds="http://schemas.openxmlformats.org/officeDocument/2006/customXml" ds:itemID="{EF5370AB-ED08-462F-B7CA-3C984D636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</vt:i4>
      </vt:variant>
    </vt:vector>
  </HeadingPairs>
  <TitlesOfParts>
    <vt:vector size="34" baseType="lpstr">
      <vt:lpstr>Lead</vt:lpstr>
      <vt:lpstr>Power Cost Bridge to A-1</vt:lpstr>
      <vt:lpstr>2024 (NEW)</vt:lpstr>
      <vt:lpstr>2022GRC=&gt;</vt:lpstr>
      <vt:lpstr>2023</vt:lpstr>
      <vt:lpstr>PKW BR-02</vt:lpstr>
      <vt:lpstr>Power Cost summary</vt:lpstr>
      <vt:lpstr>MAC6_Prod O&amp;M Summary </vt:lpstr>
      <vt:lpstr>TY 557xorder</vt:lpstr>
      <vt:lpstr>B&amp;T 557 Forecast</vt:lpstr>
      <vt:lpstr>B&amp;T O&amp;M TY</vt:lpstr>
      <vt:lpstr>B&amp;T O&amp;M Forecast</vt:lpstr>
      <vt:lpstr>Centralia Equity Kicker</vt:lpstr>
      <vt:lpstr>Transmission Revenue</vt:lpstr>
      <vt:lpstr>TY Orders</vt:lpstr>
      <vt:lpstr>Restating Section=&gt;</vt:lpstr>
      <vt:lpstr>Summary Normalization</vt:lpstr>
      <vt:lpstr>Load Impact to Cost &amp; Rev</vt:lpstr>
      <vt:lpstr>Load Temp Adj</vt:lpstr>
      <vt:lpstr>12MOE Jun-21 Hydro</vt:lpstr>
      <vt:lpstr>12MOE Jun-21 Wind</vt:lpstr>
      <vt:lpstr>Support--&gt;</vt:lpstr>
      <vt:lpstr>EA Database</vt:lpstr>
      <vt:lpstr>BAGE &amp; SAGE</vt:lpstr>
      <vt:lpstr>PKW-WP ENERG</vt:lpstr>
      <vt:lpstr>Wind Forecast</vt:lpstr>
      <vt:lpstr>CEA Forecast</vt:lpstr>
      <vt:lpstr>Wind Integration Costs</vt:lpstr>
      <vt:lpstr>Price</vt:lpstr>
      <vt:lpstr>PCA Calc=&gt;</vt:lpstr>
      <vt:lpstr>Sched B 12MOE Jun-21</vt:lpstr>
      <vt:lpstr>Actuals 12MOE Jun-21</vt:lpstr>
      <vt:lpstr>FERC</vt:lpstr>
      <vt:lpstr>'Power Cost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2019-06-12T16:07:31Z</cp:lastPrinted>
  <dcterms:created xsi:type="dcterms:W3CDTF">2017-08-15T16:09:44Z</dcterms:created>
  <dcterms:modified xsi:type="dcterms:W3CDTF">2023-12-24T18:09:55Z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