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0" windowWidth="7710" windowHeight="9420" activeTab="0"/>
  </bookViews>
  <sheets>
    <sheet name="Ratings" sheetId="1" r:id="rId1"/>
    <sheet name="MKM Exhibit" sheetId="2" r:id="rId2"/>
    <sheet name="Calculations" sheetId="3" r:id="rId3"/>
    <sheet name="Var. Rate Long-Term" sheetId="4" r:id="rId4"/>
    <sheet name="Short-Term" sheetId="5" r:id="rId5"/>
  </sheets>
  <definedNames/>
  <calcPr fullCalcOnLoad="1"/>
</workbook>
</file>

<file path=xl/sharedStrings.xml><?xml version="1.0" encoding="utf-8"?>
<sst xmlns="http://schemas.openxmlformats.org/spreadsheetml/2006/main" count="278" uniqueCount="155">
  <si>
    <t>Principal</t>
  </si>
  <si>
    <t>Line</t>
  </si>
  <si>
    <t>Coupon</t>
  </si>
  <si>
    <t>Maturity</t>
  </si>
  <si>
    <t>Settlement</t>
  </si>
  <si>
    <t>Issuance</t>
  </si>
  <si>
    <t>Loss/Reacq</t>
  </si>
  <si>
    <t>Net</t>
  </si>
  <si>
    <t>Yield to</t>
  </si>
  <si>
    <t>Outstanding</t>
  </si>
  <si>
    <t>Effective</t>
  </si>
  <si>
    <t>No.</t>
  </si>
  <si>
    <t>Rate</t>
  </si>
  <si>
    <t>Date</t>
  </si>
  <si>
    <t>Amount</t>
  </si>
  <si>
    <t>Costs</t>
  </si>
  <si>
    <t>Expenses</t>
  </si>
  <si>
    <t>Proceeds</t>
  </si>
  <si>
    <t>Cost</t>
  </si>
  <si>
    <t>Series Costs</t>
  </si>
  <si>
    <t>TOTAL LONG-TERM DEBT</t>
  </si>
  <si>
    <t>SMTN Series A</t>
  </si>
  <si>
    <t>SMTN Series B</t>
  </si>
  <si>
    <t>5.70% FMB's</t>
  </si>
  <si>
    <t>6.125% FMB's</t>
  </si>
  <si>
    <t>5.45% FMB's</t>
  </si>
  <si>
    <t>6.25% FMB's</t>
  </si>
  <si>
    <t>PCB's Kettle Falls</t>
  </si>
  <si>
    <t>PCB's Series 1999A</t>
  </si>
  <si>
    <t>PCB's Series 1999B</t>
  </si>
  <si>
    <t>MTN's Series C</t>
  </si>
  <si>
    <t>Repurchase</t>
  </si>
  <si>
    <t>Includes the annual insurance premium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</si>
  <si>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</si>
  <si>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</si>
  <si>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</si>
  <si>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</si>
  <si>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</si>
  <si>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</si>
  <si>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</si>
  <si>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</si>
  <si>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</si>
  <si>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</si>
  <si>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 c)</t>
  </si>
  <si>
    <t>AVISTA CORPORATION</t>
  </si>
  <si>
    <t>Trust Preferred Securities</t>
  </si>
  <si>
    <t xml:space="preserve">  Cost of Capital as of</t>
  </si>
  <si>
    <t>Percent of</t>
  </si>
  <si>
    <t>Total Capital</t>
  </si>
  <si>
    <t>Component</t>
  </si>
  <si>
    <t xml:space="preserve">TOTAL   </t>
  </si>
  <si>
    <t>Common Equity</t>
  </si>
  <si>
    <t xml:space="preserve">Avg of </t>
  </si>
  <si>
    <t>AR Securitization</t>
  </si>
  <si>
    <t>Total Short Term Debt</t>
  </si>
  <si>
    <t>Number of Days in Month</t>
  </si>
  <si>
    <t>Total STD Interest Expense</t>
  </si>
  <si>
    <t>Ave Monthly Borrowing Rate</t>
  </si>
  <si>
    <t>Average Borrowing Rate</t>
  </si>
  <si>
    <t>AR Securitization Rate</t>
  </si>
  <si>
    <t>Credit Facility</t>
  </si>
  <si>
    <t>AR Interest Expense</t>
  </si>
  <si>
    <t>LC's</t>
  </si>
  <si>
    <t>Credit Agreement Amort of up-front costs</t>
  </si>
  <si>
    <t>AR Amort of up-front costs</t>
  </si>
  <si>
    <t>Total Costs</t>
  </si>
  <si>
    <t>Total Borrowings</t>
  </si>
  <si>
    <t>Cost Rate</t>
  </si>
  <si>
    <t>Proforma Cost of Short-Term Debt Detail</t>
  </si>
  <si>
    <t>Proforma Cost of Long-Term Debt Detail</t>
  </si>
  <si>
    <t>The coupon rate used is the cost of debt at the time of the repurchases</t>
  </si>
  <si>
    <t>TOTAL PRO FORMA COST OF DEBT 12/31/2008</t>
  </si>
  <si>
    <t>Proforma Debt</t>
  </si>
  <si>
    <t>Description</t>
  </si>
  <si>
    <t>The amounts are calculated using the IRR function</t>
  </si>
  <si>
    <t>Credit Agreement Fees</t>
  </si>
  <si>
    <t>AR Agreement Fees</t>
  </si>
  <si>
    <t>Proforma Cost of Long-Term Variable Rate</t>
  </si>
  <si>
    <t>Trust Preferred</t>
  </si>
  <si>
    <t>Trust Preferred Interest Expense</t>
  </si>
  <si>
    <t>Forecasted Monthly Borrowing Rate</t>
  </si>
  <si>
    <t>(l)</t>
  </si>
  <si>
    <t>(m)</t>
  </si>
  <si>
    <t>(n)</t>
  </si>
  <si>
    <t>(o)</t>
  </si>
  <si>
    <t>Average borrowing rate used in the caluclation of the effective costs below</t>
  </si>
  <si>
    <t>Forecasted Trust Preferred Borrowing Rate</t>
  </si>
  <si>
    <t>Total Interest Expense</t>
  </si>
  <si>
    <t xml:space="preserve">       The weighted average rate is a combination of a $75 million swap at 7.0%, $50 million swap at 6.44% and $125 million of a forecasted rate at 5.78%</t>
  </si>
  <si>
    <t>Assumptions</t>
  </si>
  <si>
    <t>2. Proforma through 12-31-2008</t>
  </si>
  <si>
    <t>1. Started with 12-31-2007 actual</t>
  </si>
  <si>
    <t>Short term interest is calculated on the average balance for the month times the interest rate for the month times the actual days in the month divided by 360 days.</t>
  </si>
  <si>
    <t>Var. Rate Long-Term Debt</t>
  </si>
  <si>
    <t>Credit Facility Interest Expense</t>
  </si>
  <si>
    <t>Credit Facility Borrowing Rate</t>
  </si>
  <si>
    <t>The forecasted credit facility, LC numbers and rates come from forecast DEC6 model run</t>
  </si>
  <si>
    <t>Short-Term debt</t>
  </si>
  <si>
    <t>Information pulls from the - Short-Term tab</t>
  </si>
  <si>
    <t>Forecasted issuance of $100 million of FMB's with a 30-year life and a forecasted coupon of 6.75%</t>
  </si>
  <si>
    <t>Information pulls from the - Var. Rate Long-Term tab</t>
  </si>
  <si>
    <t>Capital Structure and Overall Rate of Return</t>
  </si>
  <si>
    <t>PRO FORMA</t>
  </si>
  <si>
    <t>Total Debt (1)</t>
  </si>
  <si>
    <t>(2)</t>
  </si>
  <si>
    <t>EMBEDDED</t>
  </si>
  <si>
    <t>(1) Includes short term debt</t>
  </si>
  <si>
    <t>(2) Proposed Return on Common Equity - See Avera testimony</t>
  </si>
  <si>
    <t>See supporting documentation</t>
  </si>
  <si>
    <t>All costs are shown before tax</t>
  </si>
  <si>
    <t>3. The forecasted equity and debt numbers come from forecast DEC6 model run</t>
  </si>
  <si>
    <t>5. Forecasted issuance of $12.5 million of additional equity through different company programs</t>
  </si>
  <si>
    <t>4. Equity is adjusted for Other Comprehensive Income and capital stock expense of $21,921,000</t>
  </si>
  <si>
    <t>Forecasted issuance of $250 million of FMB's with a 10-year life and a weighted average coupon rate of 6.28%</t>
  </si>
  <si>
    <t>Long-term Securities Credit Ratings</t>
  </si>
  <si>
    <t>Standard &amp; Poor's</t>
  </si>
  <si>
    <t>Moody's</t>
  </si>
  <si>
    <t>Fitch</t>
  </si>
  <si>
    <t>Last Reviewed</t>
  </si>
  <si>
    <t>Credit Outlook</t>
  </si>
  <si>
    <t>Stable</t>
  </si>
  <si>
    <t>Positive</t>
  </si>
  <si>
    <t>AAA</t>
  </si>
  <si>
    <t>Aaa</t>
  </si>
  <si>
    <t>AA+</t>
  </si>
  <si>
    <t>Aa1</t>
  </si>
  <si>
    <t>AA</t>
  </si>
  <si>
    <t>Aa2</t>
  </si>
  <si>
    <t>AA-</t>
  </si>
  <si>
    <t>Aa3</t>
  </si>
  <si>
    <t>A+</t>
  </si>
  <si>
    <t>A1</t>
  </si>
  <si>
    <t>A</t>
  </si>
  <si>
    <t>A2</t>
  </si>
  <si>
    <t>A-</t>
  </si>
  <si>
    <t>A3</t>
  </si>
  <si>
    <t>BBB+</t>
  </si>
  <si>
    <t>First Mortgage Bonds</t>
  </si>
  <si>
    <t>Baa1</t>
  </si>
  <si>
    <t>Secured Medium-Term Notes</t>
  </si>
  <si>
    <t>BBB</t>
  </si>
  <si>
    <t>Baa2</t>
  </si>
  <si>
    <t>BBB-</t>
  </si>
  <si>
    <t>Avista Corp./Corporate rating</t>
  </si>
  <si>
    <t>Baa3</t>
  </si>
  <si>
    <t>Avista Corp./Issuer rating</t>
  </si>
  <si>
    <t>Senior Corporate Notes 9.75%</t>
  </si>
  <si>
    <t>INVESTMENT GRADE</t>
  </si>
  <si>
    <t>BB+</t>
  </si>
  <si>
    <t>Ba1</t>
  </si>
  <si>
    <t>Trust-Originated Preferred Securities</t>
  </si>
  <si>
    <t>BB</t>
  </si>
  <si>
    <t>Ba2</t>
  </si>
  <si>
    <t>BB-</t>
  </si>
  <si>
    <t>Ba3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</si>
</sst>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\ "/>
    <numFmt numFmtId="165" formatCode="#,##0\ ;\(#,##0\)"/>
    <numFmt numFmtId="166" formatCode="#,##0\ "/>
    <numFmt numFmtId="167" formatCode="&quot;$&quot;#,##0;\(&quot;$&quot;#,##0\)"/>
    <numFmt numFmtId="168" formatCode="&quot;$&quot;#,##0\);\(&quot;$&quot;#,##0\)"/>
    <numFmt numFmtId="169" formatCode="#,##0;\(#,##0\)"/>
    <numFmt numFmtId="170" formatCode="mmmm\ d\,\ yyyy"/>
    <numFmt numFmtId="171" formatCode="mmm\-dd\-yyyy"/>
    <numFmt numFmtId="172" formatCode="0.000"/>
    <numFmt numFmtId="173" formatCode="0.000%"/>
    <numFmt numFmtId="174" formatCode="0.0000"/>
    <numFmt numFmtId="175" formatCode="&quot;$&quot;0.00"/>
    <numFmt numFmtId="176" formatCode="&quot;$&quot;0.000"/>
    <numFmt numFmtId="177" formatCode="&quot;$&quot;#,##0.0_);[Red]\(&quot;$&quot;#,##0.0\)"/>
    <numFmt numFmtId="178" formatCode="0.0%"/>
    <numFmt numFmtId="179" formatCode="&quot;$&quot;#,##0.000_);[Red]\(&quot;$&quot;#,##0.000\)"/>
    <numFmt numFmtId="180" formatCode="&quot;$&quot;#,##0.0000_);[Red]\(&quot;$&quot;#,##0.0000\)"/>
    <numFmt numFmtId="181" formatCode="&quot;$&quot;#,##0.00000_);[Red]\(&quot;$&quot;#,##0.00000\)"/>
    <numFmt numFmtId="182" formatCode="&quot;$&quot;#,##0.000000_);[Red]\(&quot;$&quot;#,##0.000000\)"/>
    <numFmt numFmtId="183" formatCode="0.0000%"/>
    <numFmt numFmtId="184" formatCode="0.00000%"/>
    <numFmt numFmtId="185" formatCode="#,##0.0"/>
    <numFmt numFmtId="186" formatCode="0.0"/>
    <numFmt numFmtId="187" formatCode="0.0000000"/>
    <numFmt numFmtId="188" formatCode="#,##0.000"/>
    <numFmt numFmtId="189" formatCode="#,##0.0000"/>
    <numFmt numFmtId="190" formatCode="#,##0.00000"/>
    <numFmt numFmtId="191" formatCode="m/d/yy"/>
    <numFmt numFmtId="192" formatCode="0.0000000000000000%"/>
    <numFmt numFmtId="193" formatCode="0.000000000000000000%"/>
    <numFmt numFmtId="194" formatCode="0.00000000000000000%"/>
    <numFmt numFmtId="195" formatCode="0.0000000%"/>
    <numFmt numFmtId="196" formatCode="0.000000%"/>
    <numFmt numFmtId="197" formatCode="_(* #,##0_);_(* \(#,##0\);_(* &quot;-&quot;??_);_(@_)"/>
    <numFmt numFmtId="198" formatCode="#,##0.0000000"/>
    <numFmt numFmtId="199" formatCode="#,##0.00000000"/>
    <numFmt numFmtId="200" formatCode="_(* #,##0.000000_);_(* \(#,##0.000000\);_(* &quot;-&quot;??_);_(@_)"/>
    <numFmt numFmtId="201" formatCode="mmm\-yyyy"/>
    <numFmt numFmtId="202" formatCode="0_)"/>
    <numFmt numFmtId="203" formatCode="00000"/>
    <numFmt numFmtId="204" formatCode="[$-409]dddd\,\ mmmm\ dd\,\ yyyy"/>
    <numFmt numFmtId="205" formatCode="[$-409]mmmm\ d\,\ yyyy;@"/>
    <numFmt numFmtId="206" formatCode="[$-409]d\-mmm\-yy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$&quot;#,##0"/>
    <numFmt numFmtId="212" formatCode="0_);[Red]\(0\)"/>
    <numFmt numFmtId="213" formatCode="&quot;$&quot;#,##0.0_);\(&quot;$&quot;#,##0.0\)"/>
  </numFmts>
  <fonts count="60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Geneva"/>
      <family val="0"/>
    </font>
    <font>
      <sz val="12"/>
      <name val="Geneva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60" applyFont="1" applyFill="1">
      <alignment/>
      <protection/>
    </xf>
    <xf numFmtId="171" fontId="4" fillId="0" borderId="0" xfId="60" applyNumberFormat="1" applyFont="1" applyFill="1">
      <alignment/>
      <protection/>
    </xf>
    <xf numFmtId="3" fontId="4" fillId="0" borderId="0" xfId="60" applyNumberFormat="1" applyFont="1" applyFill="1">
      <alignment/>
      <protection/>
    </xf>
    <xf numFmtId="172" fontId="4" fillId="0" borderId="0" xfId="60" applyNumberFormat="1" applyFont="1" applyFill="1">
      <alignment/>
      <protection/>
    </xf>
    <xf numFmtId="0" fontId="4" fillId="0" borderId="0" xfId="60" applyFont="1" applyFill="1" applyAlignment="1">
      <alignment horizontal="center"/>
      <protection/>
    </xf>
    <xf numFmtId="0" fontId="0" fillId="0" borderId="0" xfId="0" applyFill="1" applyAlignment="1">
      <alignment/>
    </xf>
    <xf numFmtId="5" fontId="5" fillId="0" borderId="0" xfId="57" applyNumberFormat="1" applyFont="1" applyFill="1" applyBorder="1" applyAlignment="1" applyProtection="1">
      <alignment horizontal="left"/>
      <protection/>
    </xf>
    <xf numFmtId="37" fontId="6" fillId="0" borderId="0" xfId="58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9" fontId="4" fillId="0" borderId="0" xfId="60" applyNumberFormat="1" applyFont="1" applyFill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7" fontId="8" fillId="0" borderId="0" xfId="58" applyFont="1" applyFill="1" applyAlignment="1" applyProtection="1">
      <alignment horizontal="center"/>
      <protection/>
    </xf>
    <xf numFmtId="37" fontId="8" fillId="0" borderId="0" xfId="58" applyFont="1" applyFill="1" applyBorder="1" applyAlignment="1" applyProtection="1">
      <alignment horizontal="center"/>
      <protection/>
    </xf>
    <xf numFmtId="167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0" fontId="8" fillId="0" borderId="0" xfId="63" applyNumberFormat="1" applyFont="1" applyAlignment="1">
      <alignment/>
    </xf>
    <xf numFmtId="173" fontId="8" fillId="0" borderId="0" xfId="63" applyNumberFormat="1" applyFont="1" applyAlignment="1">
      <alignment/>
    </xf>
    <xf numFmtId="169" fontId="8" fillId="0" borderId="10" xfId="0" applyNumberFormat="1" applyFont="1" applyFill="1" applyBorder="1" applyAlignment="1">
      <alignment/>
    </xf>
    <xf numFmtId="10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10" fontId="7" fillId="0" borderId="11" xfId="63" applyNumberFormat="1" applyFont="1" applyBorder="1" applyAlignment="1">
      <alignment/>
    </xf>
    <xf numFmtId="2" fontId="8" fillId="0" borderId="0" xfId="0" applyNumberFormat="1" applyFont="1" applyAlignment="1" quotePrefix="1">
      <alignment/>
    </xf>
    <xf numFmtId="10" fontId="8" fillId="0" borderId="10" xfId="63" applyNumberFormat="1" applyFont="1" applyBorder="1" applyAlignment="1">
      <alignment/>
    </xf>
    <xf numFmtId="0" fontId="8" fillId="0" borderId="0" xfId="0" applyFont="1" applyAlignment="1">
      <alignment horizontal="right"/>
    </xf>
    <xf numFmtId="167" fontId="8" fillId="0" borderId="12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205" fontId="8" fillId="0" borderId="0" xfId="60" applyNumberFormat="1" applyFont="1" applyFill="1" applyAlignment="1">
      <alignment horizontal="center"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60" applyFont="1" applyFill="1">
      <alignment/>
      <protection/>
    </xf>
    <xf numFmtId="3" fontId="18" fillId="0" borderId="0" xfId="60" applyNumberFormat="1" applyFont="1" applyFill="1">
      <alignment/>
      <protection/>
    </xf>
    <xf numFmtId="171" fontId="18" fillId="0" borderId="0" xfId="60" applyNumberFormat="1" applyFont="1" applyFill="1">
      <alignment/>
      <protection/>
    </xf>
    <xf numFmtId="3" fontId="18" fillId="0" borderId="0" xfId="60" applyNumberFormat="1" applyFont="1" applyFill="1" applyAlignment="1">
      <alignment horizontal="center"/>
      <protection/>
    </xf>
    <xf numFmtId="0" fontId="6" fillId="0" borderId="0" xfId="60" applyFont="1" applyFill="1">
      <alignment/>
      <protection/>
    </xf>
    <xf numFmtId="172" fontId="18" fillId="0" borderId="0" xfId="60" applyNumberFormat="1" applyFont="1" applyFill="1">
      <alignment/>
      <protection/>
    </xf>
    <xf numFmtId="0" fontId="18" fillId="0" borderId="0" xfId="60" applyFont="1" applyFill="1" applyAlignment="1">
      <alignment horizontal="center"/>
      <protection/>
    </xf>
    <xf numFmtId="171" fontId="18" fillId="0" borderId="0" xfId="60" applyNumberFormat="1" applyFont="1" applyFill="1" applyAlignment="1">
      <alignment horizontal="center"/>
      <protection/>
    </xf>
    <xf numFmtId="172" fontId="18" fillId="0" borderId="0" xfId="60" applyNumberFormat="1" applyFont="1" applyFill="1" applyAlignment="1">
      <alignment horizontal="center"/>
      <protection/>
    </xf>
    <xf numFmtId="0" fontId="18" fillId="0" borderId="10" xfId="60" applyFont="1" applyFill="1" applyBorder="1" applyAlignment="1">
      <alignment horizontal="center"/>
      <protection/>
    </xf>
    <xf numFmtId="3" fontId="18" fillId="0" borderId="10" xfId="60" applyNumberFormat="1" applyFont="1" applyFill="1" applyBorder="1" applyAlignment="1">
      <alignment horizontal="center"/>
      <protection/>
    </xf>
    <xf numFmtId="171" fontId="18" fillId="0" borderId="10" xfId="60" applyNumberFormat="1" applyFont="1" applyFill="1" applyBorder="1" applyAlignment="1">
      <alignment horizontal="center"/>
      <protection/>
    </xf>
    <xf numFmtId="172" fontId="18" fillId="0" borderId="10" xfId="60" applyNumberFormat="1" applyFont="1" applyFill="1" applyBorder="1" applyAlignment="1">
      <alignment horizontal="center"/>
      <protection/>
    </xf>
    <xf numFmtId="203" fontId="18" fillId="0" borderId="0" xfId="60" applyNumberFormat="1" applyFont="1" applyFill="1" applyAlignment="1">
      <alignment horizontal="center"/>
      <protection/>
    </xf>
    <xf numFmtId="0" fontId="19" fillId="0" borderId="0" xfId="60" applyFont="1" applyFill="1">
      <alignment/>
      <protection/>
    </xf>
    <xf numFmtId="14" fontId="18" fillId="0" borderId="0" xfId="60" applyNumberFormat="1" applyFont="1" applyFill="1" applyAlignment="1">
      <alignment horizontal="right"/>
      <protection/>
    </xf>
    <xf numFmtId="0" fontId="18" fillId="0" borderId="0" xfId="60" applyFont="1" applyFill="1" applyAlignment="1">
      <alignment horizontal="right"/>
      <protection/>
    </xf>
    <xf numFmtId="10" fontId="18" fillId="0" borderId="0" xfId="60" applyNumberFormat="1" applyFont="1" applyFill="1">
      <alignment/>
      <protection/>
    </xf>
    <xf numFmtId="173" fontId="18" fillId="0" borderId="0" xfId="63" applyNumberFormat="1" applyFont="1" applyFill="1" applyAlignment="1">
      <alignment/>
    </xf>
    <xf numFmtId="3" fontId="18" fillId="0" borderId="0" xfId="60" applyNumberFormat="1" applyFont="1" applyFill="1" applyBorder="1">
      <alignment/>
      <protection/>
    </xf>
    <xf numFmtId="173" fontId="18" fillId="0" borderId="0" xfId="60" applyNumberFormat="1" applyFont="1" applyFill="1">
      <alignment/>
      <protection/>
    </xf>
    <xf numFmtId="0" fontId="18" fillId="0" borderId="0" xfId="60" applyFont="1" applyFill="1" applyBorder="1">
      <alignment/>
      <protection/>
    </xf>
    <xf numFmtId="173" fontId="18" fillId="0" borderId="0" xfId="63" applyNumberFormat="1" applyFont="1" applyFill="1" applyBorder="1" applyAlignment="1">
      <alignment/>
    </xf>
    <xf numFmtId="0" fontId="20" fillId="0" borderId="0" xfId="60" applyFont="1" applyFill="1">
      <alignment/>
      <protection/>
    </xf>
    <xf numFmtId="14" fontId="18" fillId="0" borderId="0" xfId="60" applyNumberFormat="1" applyFont="1" applyFill="1">
      <alignment/>
      <protection/>
    </xf>
    <xf numFmtId="0" fontId="20" fillId="33" borderId="0" xfId="60" applyFont="1" applyFill="1">
      <alignment/>
      <protection/>
    </xf>
    <xf numFmtId="0" fontId="18" fillId="33" borderId="0" xfId="60" applyFont="1" applyFill="1">
      <alignment/>
      <protection/>
    </xf>
    <xf numFmtId="10" fontId="18" fillId="33" borderId="0" xfId="60" applyNumberFormat="1" applyFont="1" applyFill="1">
      <alignment/>
      <protection/>
    </xf>
    <xf numFmtId="14" fontId="18" fillId="33" borderId="0" xfId="60" applyNumberFormat="1" applyFont="1" applyFill="1">
      <alignment/>
      <protection/>
    </xf>
    <xf numFmtId="14" fontId="18" fillId="33" borderId="0" xfId="60" applyNumberFormat="1" applyFont="1" applyFill="1" applyAlignment="1">
      <alignment horizontal="right"/>
      <protection/>
    </xf>
    <xf numFmtId="0" fontId="18" fillId="33" borderId="0" xfId="60" applyFont="1" applyFill="1" applyAlignment="1">
      <alignment horizontal="right"/>
      <protection/>
    </xf>
    <xf numFmtId="3" fontId="18" fillId="33" borderId="0" xfId="60" applyNumberFormat="1" applyFont="1" applyFill="1">
      <alignment/>
      <protection/>
    </xf>
    <xf numFmtId="3" fontId="18" fillId="33" borderId="0" xfId="60" applyNumberFormat="1" applyFont="1" applyFill="1" applyBorder="1">
      <alignment/>
      <protection/>
    </xf>
    <xf numFmtId="0" fontId="18" fillId="33" borderId="0" xfId="60" applyFont="1" applyFill="1" applyBorder="1">
      <alignment/>
      <protection/>
    </xf>
    <xf numFmtId="173" fontId="18" fillId="33" borderId="0" xfId="63" applyNumberFormat="1" applyFont="1" applyFill="1" applyBorder="1" applyAlignment="1">
      <alignment/>
    </xf>
    <xf numFmtId="3" fontId="18" fillId="0" borderId="10" xfId="60" applyNumberFormat="1" applyFont="1" applyFill="1" applyBorder="1">
      <alignment/>
      <protection/>
    </xf>
    <xf numFmtId="188" fontId="18" fillId="0" borderId="0" xfId="60" applyNumberFormat="1" applyFont="1" applyFill="1" applyAlignment="1">
      <alignment horizontal="right"/>
      <protection/>
    </xf>
    <xf numFmtId="173" fontId="19" fillId="0" borderId="0" xfId="63" applyNumberFormat="1" applyFont="1" applyFill="1" applyAlignment="1">
      <alignment/>
    </xf>
    <xf numFmtId="3" fontId="18" fillId="0" borderId="0" xfId="60" applyNumberFormat="1" applyFont="1" applyFill="1" applyAlignment="1">
      <alignment horizontal="right"/>
      <protection/>
    </xf>
    <xf numFmtId="0" fontId="8" fillId="0" borderId="0" xfId="0" applyFont="1" applyFill="1" applyAlignment="1">
      <alignment/>
    </xf>
    <xf numFmtId="172" fontId="18" fillId="0" borderId="0" xfId="60" applyNumberFormat="1" applyFont="1" applyFill="1" applyBorder="1" applyAlignment="1">
      <alignment horizontal="center"/>
      <protection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70" fontId="19" fillId="0" borderId="0" xfId="0" applyNumberFormat="1" applyFont="1" applyFill="1" applyAlignment="1">
      <alignment horizontal="left"/>
    </xf>
    <xf numFmtId="37" fontId="18" fillId="0" borderId="0" xfId="58" applyFont="1" applyFill="1" applyAlignment="1" applyProtection="1">
      <alignment horizontal="center"/>
      <protection/>
    </xf>
    <xf numFmtId="1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37" fontId="18" fillId="0" borderId="0" xfId="58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/>
    </xf>
    <xf numFmtId="5" fontId="21" fillId="0" borderId="0" xfId="57" applyNumberFormat="1" applyFont="1" applyFill="1" applyBorder="1" applyProtection="1">
      <alignment/>
      <protection/>
    </xf>
    <xf numFmtId="37" fontId="22" fillId="0" borderId="0" xfId="57" applyNumberFormat="1" applyFont="1" applyFill="1" applyBorder="1" applyProtection="1">
      <alignment/>
      <protection/>
    </xf>
    <xf numFmtId="0" fontId="18" fillId="0" borderId="0" xfId="0" applyFont="1" applyFill="1" applyBorder="1" applyAlignment="1">
      <alignment/>
    </xf>
    <xf numFmtId="5" fontId="21" fillId="0" borderId="14" xfId="57" applyNumberFormat="1" applyFont="1" applyFill="1" applyBorder="1" applyProtection="1">
      <alignment/>
      <protection/>
    </xf>
    <xf numFmtId="5" fontId="22" fillId="0" borderId="14" xfId="57" applyNumberFormat="1" applyFont="1" applyFill="1" applyBorder="1" applyProtection="1">
      <alignment/>
      <protection/>
    </xf>
    <xf numFmtId="0" fontId="6" fillId="0" borderId="0" xfId="0" applyFont="1" applyFill="1" applyBorder="1" applyAlignment="1">
      <alignment/>
    </xf>
    <xf numFmtId="0" fontId="21" fillId="0" borderId="0" xfId="57" applyFont="1" applyFill="1" applyBorder="1" applyProtection="1">
      <alignment/>
      <protection/>
    </xf>
    <xf numFmtId="0" fontId="2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 applyAlignment="1">
      <alignment/>
    </xf>
    <xf numFmtId="197" fontId="18" fillId="0" borderId="0" xfId="42" applyNumberFormat="1" applyFont="1" applyFill="1" applyBorder="1" applyAlignment="1">
      <alignment/>
    </xf>
    <xf numFmtId="197" fontId="19" fillId="0" borderId="0" xfId="42" applyNumberFormat="1" applyFont="1" applyFill="1" applyBorder="1" applyAlignment="1">
      <alignment/>
    </xf>
    <xf numFmtId="197" fontId="18" fillId="0" borderId="14" xfId="42" applyNumberFormat="1" applyFont="1" applyFill="1" applyBorder="1" applyAlignment="1">
      <alignment/>
    </xf>
    <xf numFmtId="10" fontId="1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06" fontId="18" fillId="0" borderId="0" xfId="0" applyNumberFormat="1" applyFont="1" applyFill="1" applyBorder="1" applyAlignment="1">
      <alignment horizontal="left"/>
    </xf>
    <xf numFmtId="5" fontId="18" fillId="0" borderId="0" xfId="0" applyNumberFormat="1" applyFont="1" applyFill="1" applyAlignment="1">
      <alignment/>
    </xf>
    <xf numFmtId="0" fontId="18" fillId="0" borderId="0" xfId="60" applyFont="1" applyFill="1" applyBorder="1" applyAlignment="1">
      <alignment horizontal="center"/>
      <protection/>
    </xf>
    <xf numFmtId="14" fontId="18" fillId="0" borderId="10" xfId="60" applyNumberFormat="1" applyFont="1" applyFill="1" applyBorder="1" applyAlignment="1">
      <alignment horizontal="center"/>
      <protection/>
    </xf>
    <xf numFmtId="197" fontId="21" fillId="0" borderId="0" xfId="42" applyNumberFormat="1" applyFont="1" applyFill="1" applyBorder="1" applyAlignment="1" applyProtection="1">
      <alignment/>
      <protection/>
    </xf>
    <xf numFmtId="5" fontId="24" fillId="0" borderId="0" xfId="0" applyNumberFormat="1" applyFont="1" applyFill="1" applyBorder="1" applyAlignment="1">
      <alignment/>
    </xf>
    <xf numFmtId="10" fontId="24" fillId="0" borderId="0" xfId="0" applyNumberFormat="1" applyFont="1" applyFill="1" applyBorder="1" applyAlignment="1">
      <alignment/>
    </xf>
    <xf numFmtId="5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37" fontId="25" fillId="0" borderId="0" xfId="59" applyFont="1" applyFill="1" applyAlignment="1" applyProtection="1">
      <alignment horizontal="left"/>
      <protection/>
    </xf>
    <xf numFmtId="0" fontId="19" fillId="0" borderId="0" xfId="0" applyFont="1" applyFill="1" applyBorder="1" applyAlignment="1">
      <alignment/>
    </xf>
    <xf numFmtId="0" fontId="12" fillId="34" borderId="0" xfId="60" applyFont="1" applyFill="1" applyAlignment="1">
      <alignment horizontal="center"/>
      <protection/>
    </xf>
    <xf numFmtId="0" fontId="11" fillId="34" borderId="0" xfId="60" applyFont="1" applyFill="1" applyAlignment="1">
      <alignment horizontal="center"/>
      <protection/>
    </xf>
    <xf numFmtId="0" fontId="8" fillId="0" borderId="0" xfId="0" applyFont="1" applyAlignment="1">
      <alignment horizontal="center"/>
    </xf>
    <xf numFmtId="205" fontId="12" fillId="34" borderId="0" xfId="60" applyNumberFormat="1" applyFont="1" applyFill="1" applyAlignment="1">
      <alignment horizontal="center"/>
      <protection/>
    </xf>
    <xf numFmtId="0" fontId="16" fillId="34" borderId="0" xfId="60" applyFont="1" applyFill="1" applyAlignment="1">
      <alignment horizontal="center"/>
      <protection/>
    </xf>
    <xf numFmtId="0" fontId="17" fillId="34" borderId="0" xfId="60" applyFont="1" applyFill="1" applyAlignment="1">
      <alignment horizontal="center"/>
      <protection/>
    </xf>
    <xf numFmtId="205" fontId="17" fillId="34" borderId="0" xfId="60" applyNumberFormat="1" applyFont="1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ACAPST" xfId="57"/>
    <cellStyle name="Normal_COSTOF" xfId="58"/>
    <cellStyle name="Normal_COSTOFPR" xfId="59"/>
    <cellStyle name="Normal_UE-070804 et al Exhibits KLE 3 and 4 CONFIDENTIAL 10-17-0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="80" zoomScaleNormal="80" zoomScalePageLayoutView="0" workbookViewId="0" topLeftCell="A1">
      <selection activeCell="A1" sqref="A1:S1"/>
    </sheetView>
  </sheetViews>
  <sheetFormatPr defaultColWidth="10.7109375" defaultRowHeight="12.75"/>
  <cols>
    <col min="1" max="1" width="16.00390625" style="40" customWidth="1"/>
    <col min="2" max="2" width="4.7109375" style="41" customWidth="1"/>
    <col min="3" max="3" width="2.7109375" style="40" customWidth="1"/>
    <col min="4" max="5" width="10.7109375" style="40" customWidth="1"/>
    <col min="6" max="6" width="20.7109375" style="40" customWidth="1"/>
    <col min="7" max="7" width="3.28125" style="40" customWidth="1"/>
    <col min="8" max="8" width="4.7109375" style="41" customWidth="1"/>
    <col min="9" max="9" width="2.7109375" style="40" customWidth="1"/>
    <col min="10" max="11" width="10.7109375" style="40" customWidth="1"/>
    <col min="12" max="12" width="20.7109375" style="40" customWidth="1"/>
    <col min="13" max="13" width="3.28125" style="40" customWidth="1"/>
    <col min="14" max="14" width="4.7109375" style="41" customWidth="1"/>
    <col min="15" max="15" width="2.7109375" style="40" customWidth="1"/>
    <col min="16" max="17" width="10.7109375" style="40" customWidth="1"/>
    <col min="18" max="18" width="20.7109375" style="40" customWidth="1"/>
    <col min="19" max="16384" width="10.7109375" style="40" customWidth="1"/>
  </cols>
  <sheetData>
    <row r="1" spans="1:19" ht="15.75">
      <c r="A1" s="141" t="s">
        <v>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19" ht="15.75" customHeight="1">
      <c r="A2" s="140" t="s">
        <v>114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5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ht="12.75" customHeight="1"/>
    <row r="5" spans="1:19" ht="15.75">
      <c r="A5" s="11"/>
      <c r="B5" s="42"/>
      <c r="C5" s="43"/>
      <c r="D5" s="44" t="s">
        <v>115</v>
      </c>
      <c r="E5" s="43"/>
      <c r="F5" s="43"/>
      <c r="G5" s="11"/>
      <c r="H5" s="42"/>
      <c r="I5" s="43"/>
      <c r="J5" s="44" t="s">
        <v>116</v>
      </c>
      <c r="K5" s="43"/>
      <c r="L5" s="43"/>
      <c r="M5" s="11"/>
      <c r="N5" s="42"/>
      <c r="O5" s="43"/>
      <c r="P5" s="44" t="s">
        <v>117</v>
      </c>
      <c r="Q5" s="43"/>
      <c r="R5" s="43"/>
      <c r="S5" s="11"/>
    </row>
    <row r="6" spans="1:19" ht="15.75">
      <c r="A6" s="11"/>
      <c r="B6" s="45"/>
      <c r="C6" s="11"/>
      <c r="D6" s="11"/>
      <c r="E6" s="11"/>
      <c r="F6" s="11"/>
      <c r="G6" s="11"/>
      <c r="H6" s="45"/>
      <c r="I6" s="11"/>
      <c r="J6" s="11"/>
      <c r="K6" s="11"/>
      <c r="L6" s="11"/>
      <c r="M6" s="11"/>
      <c r="N6" s="45"/>
      <c r="O6" s="11"/>
      <c r="P6" s="11"/>
      <c r="Q6" s="11"/>
      <c r="R6" s="11"/>
      <c r="S6" s="11"/>
    </row>
    <row r="7" spans="1:19" ht="15.75">
      <c r="A7" s="45" t="s">
        <v>118</v>
      </c>
      <c r="B7" s="45"/>
      <c r="C7" s="11"/>
      <c r="D7" s="46" t="str">
        <f>"February 2008"</f>
        <v>February 2008</v>
      </c>
      <c r="E7" s="46"/>
      <c r="F7" s="46"/>
      <c r="G7" s="11"/>
      <c r="H7" s="45"/>
      <c r="I7" s="11"/>
      <c r="J7" s="46" t="str">
        <f>"December 2007"</f>
        <v>December 2007</v>
      </c>
      <c r="K7" s="46"/>
      <c r="L7" s="46"/>
      <c r="M7" s="11"/>
      <c r="N7" s="45"/>
      <c r="O7" s="11"/>
      <c r="P7" s="46" t="str">
        <f>"August 2007"</f>
        <v>August 2007</v>
      </c>
      <c r="Q7" s="46"/>
      <c r="R7" s="46"/>
      <c r="S7" s="11"/>
    </row>
    <row r="8" spans="1:19" ht="15.75">
      <c r="A8" s="11"/>
      <c r="B8" s="45"/>
      <c r="C8" s="11"/>
      <c r="D8" s="11"/>
      <c r="E8" s="11"/>
      <c r="F8" s="11"/>
      <c r="G8" s="11"/>
      <c r="H8" s="45"/>
      <c r="I8" s="11"/>
      <c r="J8" s="11"/>
      <c r="K8" s="11"/>
      <c r="L8" s="11"/>
      <c r="M8" s="11"/>
      <c r="N8" s="45"/>
      <c r="O8" s="11"/>
      <c r="P8" s="11"/>
      <c r="Q8" s="11"/>
      <c r="R8" s="11"/>
      <c r="S8" s="11"/>
    </row>
    <row r="9" spans="1:19" ht="15.75">
      <c r="A9" s="47" t="s">
        <v>119</v>
      </c>
      <c r="B9" s="45"/>
      <c r="C9" s="11"/>
      <c r="D9" s="142" t="s">
        <v>120</v>
      </c>
      <c r="E9" s="142"/>
      <c r="F9" s="142"/>
      <c r="G9" s="11"/>
      <c r="H9" s="45"/>
      <c r="I9" s="11"/>
      <c r="J9" s="142" t="s">
        <v>120</v>
      </c>
      <c r="K9" s="142"/>
      <c r="L9" s="142"/>
      <c r="M9" s="11"/>
      <c r="N9" s="45"/>
      <c r="O9" s="11"/>
      <c r="P9" s="142" t="s">
        <v>121</v>
      </c>
      <c r="Q9" s="142"/>
      <c r="R9" s="142"/>
      <c r="S9" s="11"/>
    </row>
    <row r="10" spans="1:19" ht="15.75">
      <c r="A10" s="11"/>
      <c r="B10" s="45"/>
      <c r="C10" s="11"/>
      <c r="D10" s="11"/>
      <c r="E10" s="11"/>
      <c r="F10" s="11"/>
      <c r="G10" s="11"/>
      <c r="H10" s="45"/>
      <c r="I10" s="11"/>
      <c r="J10" s="11"/>
      <c r="K10" s="11"/>
      <c r="L10" s="11"/>
      <c r="M10" s="11"/>
      <c r="N10" s="45"/>
      <c r="O10" s="11"/>
      <c r="P10" s="11"/>
      <c r="Q10" s="11"/>
      <c r="R10" s="11"/>
      <c r="S10" s="11"/>
    </row>
    <row r="11" spans="1:19" ht="15.75" hidden="1">
      <c r="A11" s="11"/>
      <c r="B11" s="45" t="s">
        <v>122</v>
      </c>
      <c r="C11" s="11"/>
      <c r="D11" s="11"/>
      <c r="E11" s="11"/>
      <c r="F11" s="11"/>
      <c r="G11" s="11"/>
      <c r="H11" s="45" t="s">
        <v>123</v>
      </c>
      <c r="I11" s="11"/>
      <c r="J11" s="11"/>
      <c r="K11" s="11"/>
      <c r="L11" s="11"/>
      <c r="M11" s="11"/>
      <c r="N11" s="45" t="s">
        <v>122</v>
      </c>
      <c r="O11" s="11"/>
      <c r="P11" s="11"/>
      <c r="Q11" s="11"/>
      <c r="R11" s="11"/>
      <c r="S11" s="11"/>
    </row>
    <row r="12" spans="1:19" ht="15.75" hidden="1">
      <c r="A12" s="11"/>
      <c r="B12" s="45"/>
      <c r="C12" s="11"/>
      <c r="D12" s="11"/>
      <c r="E12" s="11"/>
      <c r="F12" s="11"/>
      <c r="G12" s="11"/>
      <c r="H12" s="45"/>
      <c r="I12" s="11"/>
      <c r="J12" s="11"/>
      <c r="K12" s="11"/>
      <c r="L12" s="11"/>
      <c r="M12" s="11"/>
      <c r="N12" s="45"/>
      <c r="O12" s="11"/>
      <c r="P12" s="11"/>
      <c r="Q12" s="11"/>
      <c r="R12" s="11"/>
      <c r="S12" s="11"/>
    </row>
    <row r="13" spans="1:19" ht="15.75" hidden="1">
      <c r="A13" s="11"/>
      <c r="B13" s="45" t="s">
        <v>124</v>
      </c>
      <c r="C13" s="11"/>
      <c r="D13" s="11"/>
      <c r="E13" s="11"/>
      <c r="F13" s="11"/>
      <c r="G13" s="11"/>
      <c r="H13" s="45" t="s">
        <v>125</v>
      </c>
      <c r="I13" s="11"/>
      <c r="J13" s="11"/>
      <c r="K13" s="11"/>
      <c r="L13" s="11"/>
      <c r="M13" s="11"/>
      <c r="N13" s="45" t="s">
        <v>124</v>
      </c>
      <c r="O13" s="11"/>
      <c r="P13" s="11"/>
      <c r="Q13" s="11"/>
      <c r="R13" s="11"/>
      <c r="S13" s="11"/>
    </row>
    <row r="14" spans="1:19" ht="15.75" hidden="1">
      <c r="A14" s="11"/>
      <c r="B14" s="45"/>
      <c r="C14" s="11"/>
      <c r="D14" s="11"/>
      <c r="E14" s="11"/>
      <c r="F14" s="11"/>
      <c r="G14" s="11"/>
      <c r="H14" s="45"/>
      <c r="I14" s="11"/>
      <c r="J14" s="11"/>
      <c r="K14" s="11"/>
      <c r="L14" s="11"/>
      <c r="M14" s="11"/>
      <c r="N14" s="45"/>
      <c r="O14" s="11"/>
      <c r="P14" s="11"/>
      <c r="Q14" s="11"/>
      <c r="R14" s="11"/>
      <c r="S14" s="11"/>
    </row>
    <row r="15" spans="1:19" ht="15.75" hidden="1">
      <c r="A15" s="11"/>
      <c r="B15" s="45" t="s">
        <v>126</v>
      </c>
      <c r="C15" s="11"/>
      <c r="D15" s="11"/>
      <c r="E15" s="11"/>
      <c r="F15" s="11"/>
      <c r="G15" s="11"/>
      <c r="H15" s="45" t="s">
        <v>127</v>
      </c>
      <c r="I15" s="11"/>
      <c r="J15" s="11"/>
      <c r="K15" s="11"/>
      <c r="L15" s="11"/>
      <c r="M15" s="11"/>
      <c r="N15" s="45" t="s">
        <v>126</v>
      </c>
      <c r="O15" s="11"/>
      <c r="P15" s="11"/>
      <c r="Q15" s="11"/>
      <c r="R15" s="11"/>
      <c r="S15" s="11"/>
    </row>
    <row r="16" spans="1:19" ht="15.75" hidden="1">
      <c r="A16" s="11"/>
      <c r="B16" s="45"/>
      <c r="C16" s="11"/>
      <c r="D16" s="11"/>
      <c r="E16" s="11"/>
      <c r="F16" s="11"/>
      <c r="G16" s="11"/>
      <c r="H16" s="45"/>
      <c r="I16" s="11"/>
      <c r="J16" s="11"/>
      <c r="K16" s="11"/>
      <c r="L16" s="11"/>
      <c r="M16" s="11"/>
      <c r="N16" s="45"/>
      <c r="O16" s="11"/>
      <c r="P16" s="11"/>
      <c r="Q16" s="11"/>
      <c r="R16" s="11"/>
      <c r="S16" s="11"/>
    </row>
    <row r="17" spans="1:19" ht="15.75" hidden="1">
      <c r="A17" s="11"/>
      <c r="B17" s="45" t="s">
        <v>128</v>
      </c>
      <c r="C17" s="11"/>
      <c r="D17" s="11"/>
      <c r="E17" s="11"/>
      <c r="F17" s="11"/>
      <c r="G17" s="11"/>
      <c r="H17" s="45" t="s">
        <v>129</v>
      </c>
      <c r="I17" s="11"/>
      <c r="J17" s="11"/>
      <c r="K17" s="11"/>
      <c r="L17" s="11"/>
      <c r="M17" s="11"/>
      <c r="N17" s="45" t="s">
        <v>128</v>
      </c>
      <c r="O17" s="11"/>
      <c r="P17" s="11"/>
      <c r="Q17" s="11"/>
      <c r="R17" s="11"/>
      <c r="S17" s="11"/>
    </row>
    <row r="18" spans="1:19" ht="15.75" hidden="1">
      <c r="A18" s="11"/>
      <c r="B18" s="45"/>
      <c r="C18" s="11"/>
      <c r="D18" s="11"/>
      <c r="E18" s="11"/>
      <c r="F18" s="11"/>
      <c r="G18" s="11"/>
      <c r="H18" s="45"/>
      <c r="I18" s="11"/>
      <c r="J18" s="11"/>
      <c r="K18" s="11"/>
      <c r="L18" s="11"/>
      <c r="M18" s="11"/>
      <c r="N18" s="45"/>
      <c r="O18" s="11"/>
      <c r="P18" s="11"/>
      <c r="Q18" s="11"/>
      <c r="R18" s="11"/>
      <c r="S18" s="11"/>
    </row>
    <row r="19" spans="1:19" ht="15.75">
      <c r="A19" s="11"/>
      <c r="B19" s="45" t="s">
        <v>130</v>
      </c>
      <c r="C19" s="11"/>
      <c r="D19" s="11"/>
      <c r="E19" s="11"/>
      <c r="F19" s="11"/>
      <c r="G19" s="11"/>
      <c r="H19" s="45" t="s">
        <v>131</v>
      </c>
      <c r="I19" s="11"/>
      <c r="J19" s="11"/>
      <c r="K19" s="11"/>
      <c r="L19" s="11"/>
      <c r="M19" s="11"/>
      <c r="N19" s="45" t="s">
        <v>130</v>
      </c>
      <c r="O19" s="11"/>
      <c r="P19" s="11"/>
      <c r="Q19" s="11"/>
      <c r="R19" s="11"/>
      <c r="S19" s="11"/>
    </row>
    <row r="20" spans="1:19" ht="15.75">
      <c r="A20" s="11"/>
      <c r="B20" s="45"/>
      <c r="C20" s="11"/>
      <c r="D20" s="11"/>
      <c r="E20" s="11"/>
      <c r="F20" s="11"/>
      <c r="G20" s="11"/>
      <c r="H20" s="45"/>
      <c r="I20" s="11"/>
      <c r="J20" s="11"/>
      <c r="K20" s="11"/>
      <c r="L20" s="11"/>
      <c r="M20" s="11"/>
      <c r="N20" s="45"/>
      <c r="O20" s="11"/>
      <c r="P20" s="11"/>
      <c r="Q20" s="11"/>
      <c r="R20" s="11"/>
      <c r="S20" s="11"/>
    </row>
    <row r="21" spans="1:19" ht="15.75">
      <c r="A21" s="11"/>
      <c r="B21" s="45" t="s">
        <v>132</v>
      </c>
      <c r="C21" s="11"/>
      <c r="D21" s="11"/>
      <c r="E21" s="11"/>
      <c r="F21" s="11"/>
      <c r="G21" s="11"/>
      <c r="H21" s="45" t="s">
        <v>133</v>
      </c>
      <c r="I21" s="11"/>
      <c r="J21" s="11"/>
      <c r="K21" s="11"/>
      <c r="L21" s="11"/>
      <c r="M21" s="11"/>
      <c r="N21" s="45" t="s">
        <v>132</v>
      </c>
      <c r="O21" s="11"/>
      <c r="P21" s="11"/>
      <c r="Q21" s="11"/>
      <c r="R21" s="11"/>
      <c r="S21" s="11"/>
    </row>
    <row r="22" spans="1:19" ht="15.75">
      <c r="A22" s="11"/>
      <c r="B22" s="45"/>
      <c r="C22" s="11"/>
      <c r="D22" s="11"/>
      <c r="E22" s="11"/>
      <c r="F22" s="11"/>
      <c r="G22" s="11"/>
      <c r="H22" s="45"/>
      <c r="I22" s="11"/>
      <c r="J22" s="11"/>
      <c r="K22" s="11"/>
      <c r="L22" s="11"/>
      <c r="M22" s="11"/>
      <c r="N22" s="45"/>
      <c r="O22" s="11"/>
      <c r="P22" s="11"/>
      <c r="Q22" s="11"/>
      <c r="R22" s="11"/>
      <c r="S22" s="11"/>
    </row>
    <row r="23" spans="1:19" ht="15.75">
      <c r="A23" s="11"/>
      <c r="B23" s="45"/>
      <c r="C23" s="11"/>
      <c r="D23" s="11"/>
      <c r="E23" s="11"/>
      <c r="F23" s="11"/>
      <c r="G23" s="11"/>
      <c r="H23" s="45"/>
      <c r="I23" s="11"/>
      <c r="J23" s="11"/>
      <c r="K23" s="11"/>
      <c r="L23" s="11"/>
      <c r="M23" s="11"/>
      <c r="N23" s="45"/>
      <c r="O23" s="11"/>
      <c r="P23" s="11"/>
      <c r="Q23" s="11"/>
      <c r="R23" s="11"/>
      <c r="S23" s="11"/>
    </row>
    <row r="24" spans="1:19" ht="15.75">
      <c r="A24" s="11"/>
      <c r="B24" s="45" t="s">
        <v>134</v>
      </c>
      <c r="C24" s="11"/>
      <c r="D24" s="11"/>
      <c r="E24" s="11"/>
      <c r="F24" s="11"/>
      <c r="G24" s="11"/>
      <c r="H24" s="45" t="s">
        <v>135</v>
      </c>
      <c r="I24" s="11"/>
      <c r="J24" s="11"/>
      <c r="K24" s="11"/>
      <c r="L24" s="11"/>
      <c r="M24" s="11"/>
      <c r="N24" s="45" t="s">
        <v>134</v>
      </c>
      <c r="O24" s="11"/>
      <c r="P24" s="11"/>
      <c r="Q24" s="11"/>
      <c r="R24" s="11"/>
      <c r="S24" s="11"/>
    </row>
    <row r="25" spans="1:19" ht="15.75">
      <c r="A25" s="11"/>
      <c r="B25" s="45"/>
      <c r="C25" s="11"/>
      <c r="D25" s="11"/>
      <c r="E25" s="11"/>
      <c r="F25" s="11"/>
      <c r="G25" s="11"/>
      <c r="H25" s="45"/>
      <c r="I25" s="11"/>
      <c r="J25" s="11"/>
      <c r="K25" s="11"/>
      <c r="L25" s="11"/>
      <c r="M25" s="11"/>
      <c r="N25" s="45"/>
      <c r="O25" s="11"/>
      <c r="P25" s="11"/>
      <c r="Q25" s="11"/>
      <c r="R25" s="11"/>
      <c r="S25" s="11"/>
    </row>
    <row r="26" spans="1:19" ht="15.75">
      <c r="A26" s="11"/>
      <c r="B26" s="45"/>
      <c r="C26" s="11"/>
      <c r="D26" s="11"/>
      <c r="E26" s="11"/>
      <c r="F26" s="11"/>
      <c r="G26" s="11"/>
      <c r="H26" s="45"/>
      <c r="I26" s="11"/>
      <c r="J26" s="11"/>
      <c r="K26" s="11"/>
      <c r="L26" s="11"/>
      <c r="M26" s="11"/>
      <c r="N26" s="45"/>
      <c r="O26" s="11"/>
      <c r="P26" s="11"/>
      <c r="Q26" s="11"/>
      <c r="R26" s="11"/>
      <c r="S26" s="11"/>
    </row>
    <row r="27" spans="1:19" ht="15.75">
      <c r="A27" s="11"/>
      <c r="B27" s="45"/>
      <c r="C27" s="11"/>
      <c r="D27" s="11"/>
      <c r="E27" s="11"/>
      <c r="F27" s="11"/>
      <c r="G27" s="11"/>
      <c r="H27" s="45"/>
      <c r="I27" s="11"/>
      <c r="J27" s="11"/>
      <c r="K27" s="11"/>
      <c r="L27" s="11"/>
      <c r="M27" s="11"/>
      <c r="N27" s="45"/>
      <c r="O27" s="11"/>
      <c r="P27" s="11"/>
      <c r="Q27" s="11"/>
      <c r="R27" s="11"/>
      <c r="S27" s="11"/>
    </row>
    <row r="28" spans="1:19" ht="15.75">
      <c r="A28" s="11"/>
      <c r="B28" s="45" t="s">
        <v>136</v>
      </c>
      <c r="C28" s="11"/>
      <c r="D28" s="11" t="s">
        <v>137</v>
      </c>
      <c r="E28" s="11"/>
      <c r="F28" s="11"/>
      <c r="G28" s="11"/>
      <c r="H28" s="45" t="s">
        <v>138</v>
      </c>
      <c r="I28" s="11"/>
      <c r="J28" s="11"/>
      <c r="K28" s="11"/>
      <c r="L28" s="11"/>
      <c r="M28" s="11"/>
      <c r="N28" s="45" t="s">
        <v>136</v>
      </c>
      <c r="O28" s="11"/>
      <c r="P28" s="11"/>
      <c r="Q28" s="11"/>
      <c r="R28" s="11"/>
      <c r="S28" s="11"/>
    </row>
    <row r="29" spans="1:19" ht="15.75">
      <c r="A29" s="11"/>
      <c r="B29" s="45"/>
      <c r="C29" s="11"/>
      <c r="D29" s="11" t="s">
        <v>139</v>
      </c>
      <c r="E29" s="11"/>
      <c r="F29" s="11"/>
      <c r="G29" s="11"/>
      <c r="H29" s="45"/>
      <c r="I29" s="11"/>
      <c r="J29" s="11"/>
      <c r="K29" s="11"/>
      <c r="L29" s="11"/>
      <c r="M29" s="11"/>
      <c r="N29" s="45"/>
      <c r="O29" s="11"/>
      <c r="P29" s="11"/>
      <c r="Q29" s="11"/>
      <c r="R29" s="11"/>
      <c r="S29" s="11"/>
    </row>
    <row r="30" spans="1:19" ht="15.75">
      <c r="A30" s="11"/>
      <c r="B30" s="45"/>
      <c r="C30" s="11"/>
      <c r="D30" s="11"/>
      <c r="E30" s="11"/>
      <c r="F30" s="11"/>
      <c r="G30" s="11"/>
      <c r="H30" s="45"/>
      <c r="I30" s="11"/>
      <c r="J30" s="11"/>
      <c r="K30" s="11"/>
      <c r="L30" s="11"/>
      <c r="M30" s="11"/>
      <c r="N30" s="45"/>
      <c r="O30" s="11"/>
      <c r="P30" s="11"/>
      <c r="Q30" s="11"/>
      <c r="R30" s="11"/>
      <c r="S30" s="11"/>
    </row>
    <row r="31" spans="1:19" ht="15.75">
      <c r="A31" s="11"/>
      <c r="B31" s="45" t="s">
        <v>140</v>
      </c>
      <c r="C31" s="11"/>
      <c r="D31" s="11"/>
      <c r="E31" s="11"/>
      <c r="F31" s="11"/>
      <c r="G31" s="11"/>
      <c r="H31" s="45" t="s">
        <v>141</v>
      </c>
      <c r="I31" s="11"/>
      <c r="J31" s="11" t="s">
        <v>137</v>
      </c>
      <c r="K31" s="11"/>
      <c r="L31" s="11"/>
      <c r="M31" s="11"/>
      <c r="N31" s="45" t="s">
        <v>140</v>
      </c>
      <c r="O31" s="11"/>
      <c r="P31" s="11" t="s">
        <v>137</v>
      </c>
      <c r="Q31" s="11"/>
      <c r="R31" s="11"/>
      <c r="S31" s="11"/>
    </row>
    <row r="32" spans="1:19" ht="15.75">
      <c r="A32" s="11"/>
      <c r="B32" s="45"/>
      <c r="C32" s="11"/>
      <c r="D32" s="11"/>
      <c r="E32" s="11"/>
      <c r="F32" s="11"/>
      <c r="G32" s="11"/>
      <c r="H32" s="45"/>
      <c r="I32" s="11"/>
      <c r="J32" s="11" t="s">
        <v>139</v>
      </c>
      <c r="K32" s="11"/>
      <c r="L32" s="11"/>
      <c r="M32" s="11"/>
      <c r="N32" s="45"/>
      <c r="O32" s="11"/>
      <c r="P32" s="11" t="s">
        <v>139</v>
      </c>
      <c r="Q32" s="11"/>
      <c r="R32" s="11"/>
      <c r="S32" s="11"/>
    </row>
    <row r="33" spans="1:19" ht="15.75">
      <c r="A33" s="11"/>
      <c r="B33" s="4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11"/>
      <c r="P33" s="11"/>
      <c r="Q33" s="11"/>
      <c r="R33" s="11"/>
      <c r="S33" s="11"/>
    </row>
    <row r="34" spans="1:19" ht="15.75">
      <c r="A34" s="11"/>
      <c r="B34" s="45" t="s">
        <v>142</v>
      </c>
      <c r="C34" s="11"/>
      <c r="D34" s="11" t="s">
        <v>143</v>
      </c>
      <c r="E34" s="11"/>
      <c r="F34" s="11"/>
      <c r="G34" s="11"/>
      <c r="H34" s="45" t="s">
        <v>144</v>
      </c>
      <c r="I34" s="11"/>
      <c r="J34" s="11" t="s">
        <v>145</v>
      </c>
      <c r="K34" s="11"/>
      <c r="L34" s="11"/>
      <c r="M34" s="11"/>
      <c r="N34" s="45" t="s">
        <v>142</v>
      </c>
      <c r="O34" s="11"/>
      <c r="P34" s="11" t="s">
        <v>146</v>
      </c>
      <c r="Q34" s="11"/>
      <c r="R34" s="11"/>
      <c r="S34" s="11"/>
    </row>
    <row r="35" spans="1:19" ht="15.75">
      <c r="A35" s="11"/>
      <c r="B35" s="45"/>
      <c r="C35" s="11"/>
      <c r="D35" s="11" t="s">
        <v>146</v>
      </c>
      <c r="E35" s="11"/>
      <c r="F35" s="11"/>
      <c r="G35" s="11"/>
      <c r="H35" s="45"/>
      <c r="I35" s="11"/>
      <c r="J35" s="11" t="s">
        <v>146</v>
      </c>
      <c r="K35" s="11"/>
      <c r="L35" s="11"/>
      <c r="M35" s="11"/>
      <c r="N35" s="45"/>
      <c r="O35" s="11"/>
      <c r="P35" s="11"/>
      <c r="Q35" s="11"/>
      <c r="R35" s="11"/>
      <c r="S35" s="11"/>
    </row>
    <row r="36" spans="1:19" ht="15.75">
      <c r="A36" s="11"/>
      <c r="B36" s="45"/>
      <c r="C36" s="11"/>
      <c r="D36" s="11"/>
      <c r="E36" s="11"/>
      <c r="F36" s="11"/>
      <c r="G36" s="11"/>
      <c r="H36" s="45"/>
      <c r="I36" s="11"/>
      <c r="J36" s="11"/>
      <c r="K36" s="11"/>
      <c r="L36" s="11"/>
      <c r="M36" s="11"/>
      <c r="N36" s="45"/>
      <c r="O36" s="11"/>
      <c r="P36" s="11"/>
      <c r="Q36" s="11"/>
      <c r="R36" s="11"/>
      <c r="S36" s="11"/>
    </row>
    <row r="37" spans="1:19" ht="19.5" customHeight="1" thickBot="1">
      <c r="A37" s="48"/>
      <c r="B37" s="49"/>
      <c r="C37" s="48"/>
      <c r="D37" s="50" t="s">
        <v>147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5.75">
      <c r="A38" s="11"/>
      <c r="B38" s="45" t="s">
        <v>148</v>
      </c>
      <c r="C38" s="11"/>
      <c r="D38" s="11"/>
      <c r="E38" s="11"/>
      <c r="F38" s="11"/>
      <c r="G38" s="11"/>
      <c r="H38" s="45" t="s">
        <v>149</v>
      </c>
      <c r="I38" s="11"/>
      <c r="J38" s="11" t="s">
        <v>150</v>
      </c>
      <c r="K38" s="11"/>
      <c r="L38" s="11"/>
      <c r="M38" s="11"/>
      <c r="N38" s="45" t="s">
        <v>148</v>
      </c>
      <c r="O38" s="11"/>
      <c r="P38" s="11" t="s">
        <v>145</v>
      </c>
      <c r="Q38" s="11"/>
      <c r="R38" s="11"/>
      <c r="S38" s="11"/>
    </row>
    <row r="39" spans="1:19" ht="15.75">
      <c r="A39" s="11"/>
      <c r="B39" s="45"/>
      <c r="C39" s="11"/>
      <c r="D39" s="11"/>
      <c r="E39" s="11"/>
      <c r="F39" s="11"/>
      <c r="G39" s="11"/>
      <c r="H39" s="45"/>
      <c r="I39" s="11"/>
      <c r="J39" s="11"/>
      <c r="K39" s="11"/>
      <c r="L39" s="11"/>
      <c r="M39" s="11"/>
      <c r="N39" s="45"/>
      <c r="O39" s="11"/>
      <c r="P39" s="11" t="s">
        <v>150</v>
      </c>
      <c r="Q39" s="11"/>
      <c r="R39" s="11"/>
      <c r="S39" s="11"/>
    </row>
    <row r="40" spans="1:19" ht="15.75">
      <c r="A40" s="11"/>
      <c r="B40" s="45"/>
      <c r="C40" s="11"/>
      <c r="D40" s="11"/>
      <c r="E40" s="11"/>
      <c r="F40" s="11"/>
      <c r="G40" s="11"/>
      <c r="H40" s="45"/>
      <c r="I40" s="11"/>
      <c r="J40" s="11"/>
      <c r="K40" s="11"/>
      <c r="L40" s="11"/>
      <c r="M40" s="11"/>
      <c r="N40" s="45"/>
      <c r="O40" s="11"/>
      <c r="P40" s="11"/>
      <c r="Q40" s="11"/>
      <c r="R40" s="11"/>
      <c r="S40" s="11"/>
    </row>
    <row r="41" spans="1:19" ht="15.75">
      <c r="A41" s="11"/>
      <c r="B41" s="45"/>
      <c r="C41" s="11"/>
      <c r="D41" s="11"/>
      <c r="E41" s="11"/>
      <c r="F41" s="11"/>
      <c r="G41" s="11"/>
      <c r="H41" s="45"/>
      <c r="I41" s="11"/>
      <c r="J41" s="11"/>
      <c r="K41" s="11"/>
      <c r="L41" s="11"/>
      <c r="M41" s="11"/>
      <c r="N41" s="45"/>
      <c r="O41" s="11"/>
      <c r="P41" s="11"/>
      <c r="Q41" s="11"/>
      <c r="R41" s="11"/>
      <c r="S41" s="11"/>
    </row>
    <row r="42" spans="1:19" ht="15.75">
      <c r="A42" s="11"/>
      <c r="B42" s="45" t="s">
        <v>151</v>
      </c>
      <c r="C42" s="11"/>
      <c r="D42" s="11" t="s">
        <v>150</v>
      </c>
      <c r="E42" s="11"/>
      <c r="F42" s="11"/>
      <c r="G42" s="11"/>
      <c r="H42" s="45" t="s">
        <v>152</v>
      </c>
      <c r="I42" s="11"/>
      <c r="J42" s="11"/>
      <c r="K42" s="11"/>
      <c r="L42" s="11"/>
      <c r="M42" s="11"/>
      <c r="N42" s="45" t="s">
        <v>151</v>
      </c>
      <c r="O42" s="11"/>
      <c r="P42" s="11"/>
      <c r="Q42" s="11"/>
      <c r="R42" s="11"/>
      <c r="S42" s="11"/>
    </row>
    <row r="43" spans="1:19" ht="15.75">
      <c r="A43" s="11"/>
      <c r="B43" s="45"/>
      <c r="C43" s="11"/>
      <c r="D43" s="11"/>
      <c r="E43" s="11"/>
      <c r="F43" s="11"/>
      <c r="G43" s="11"/>
      <c r="H43" s="45"/>
      <c r="I43" s="11"/>
      <c r="J43" s="11"/>
      <c r="K43" s="11"/>
      <c r="L43" s="11"/>
      <c r="M43" s="11"/>
      <c r="N43" s="45"/>
      <c r="O43" s="11"/>
      <c r="P43" s="11"/>
      <c r="Q43" s="11"/>
      <c r="R43" s="11"/>
      <c r="S43" s="11"/>
    </row>
    <row r="44" spans="1:19" ht="15.75">
      <c r="A44" s="11"/>
      <c r="B44" s="45"/>
      <c r="C44" s="11"/>
      <c r="D44" s="11"/>
      <c r="E44" s="11"/>
      <c r="F44" s="11"/>
      <c r="G44" s="11"/>
      <c r="H44" s="45"/>
      <c r="I44" s="11"/>
      <c r="J44" s="11"/>
      <c r="K44" s="11"/>
      <c r="L44" s="11"/>
      <c r="M44" s="11"/>
      <c r="N44" s="45"/>
      <c r="O44" s="11"/>
      <c r="P44" s="11"/>
      <c r="Q44" s="11"/>
      <c r="R44" s="11"/>
      <c r="S44" s="11"/>
    </row>
    <row r="45" spans="1:19" ht="15.75">
      <c r="A45" s="11"/>
      <c r="B45" s="45" t="s">
        <v>153</v>
      </c>
      <c r="C45" s="11"/>
      <c r="D45" s="11"/>
      <c r="E45" s="11"/>
      <c r="F45" s="11"/>
      <c r="G45" s="11"/>
      <c r="H45" s="45" t="s">
        <v>154</v>
      </c>
      <c r="I45" s="11"/>
      <c r="J45" s="11"/>
      <c r="K45" s="11"/>
      <c r="L45" s="11"/>
      <c r="M45" s="11"/>
      <c r="N45" s="45" t="s">
        <v>153</v>
      </c>
      <c r="O45" s="11"/>
      <c r="P45" s="11"/>
      <c r="Q45" s="11"/>
      <c r="R45" s="11"/>
      <c r="S45" s="11"/>
    </row>
    <row r="46" spans="1:19" ht="15.75">
      <c r="A46" s="11"/>
      <c r="B46" s="45"/>
      <c r="C46" s="11"/>
      <c r="D46" s="11"/>
      <c r="E46" s="11"/>
      <c r="F46" s="11"/>
      <c r="G46" s="11"/>
      <c r="H46" s="45"/>
      <c r="I46" s="11"/>
      <c r="J46" s="11"/>
      <c r="K46" s="11"/>
      <c r="L46" s="11"/>
      <c r="M46" s="11"/>
      <c r="N46" s="45"/>
      <c r="O46" s="11"/>
      <c r="P46" s="11"/>
      <c r="Q46" s="11"/>
      <c r="R46" s="11"/>
      <c r="S46" s="11"/>
    </row>
    <row r="47" spans="1:19" ht="18.75">
      <c r="A47" s="11"/>
      <c r="B47" s="45"/>
      <c r="C47" s="11"/>
      <c r="D47" s="11"/>
      <c r="E47" s="11"/>
      <c r="F47" s="11"/>
      <c r="G47" s="11"/>
      <c r="H47" s="45"/>
      <c r="I47" s="11"/>
      <c r="J47" s="11"/>
      <c r="K47" s="11"/>
      <c r="L47" s="11"/>
      <c r="M47" s="11"/>
      <c r="N47" s="45"/>
      <c r="O47" s="11"/>
      <c r="P47" s="11"/>
      <c r="Q47" s="11"/>
      <c r="R47" s="11"/>
      <c r="S47" s="51"/>
    </row>
    <row r="48" spans="1:19" ht="20.25">
      <c r="A48" s="11"/>
      <c r="B48" s="45"/>
      <c r="C48" s="11"/>
      <c r="D48" s="11"/>
      <c r="E48" s="11"/>
      <c r="F48" s="11"/>
      <c r="G48" s="11"/>
      <c r="H48" s="45"/>
      <c r="I48" s="11"/>
      <c r="J48" s="11"/>
      <c r="K48" s="11"/>
      <c r="L48" s="11"/>
      <c r="M48" s="11"/>
      <c r="N48" s="45"/>
      <c r="O48" s="11"/>
      <c r="P48" s="11"/>
      <c r="Q48" s="11"/>
      <c r="R48" s="52"/>
      <c r="S48" s="11"/>
    </row>
    <row r="49" spans="1:19" ht="20.25">
      <c r="A49" s="11"/>
      <c r="B49" s="45"/>
      <c r="C49" s="11"/>
      <c r="D49" s="11"/>
      <c r="E49" s="11"/>
      <c r="F49" s="11"/>
      <c r="G49" s="11"/>
      <c r="H49" s="45"/>
      <c r="I49" s="11"/>
      <c r="J49" s="11"/>
      <c r="K49" s="11"/>
      <c r="L49" s="11"/>
      <c r="M49" s="11"/>
      <c r="N49" s="45"/>
      <c r="O49" s="11"/>
      <c r="P49" s="11"/>
      <c r="Q49" s="11"/>
      <c r="R49" s="52"/>
      <c r="S49" s="11"/>
    </row>
    <row r="50" spans="1:19" ht="20.25">
      <c r="A50" s="11"/>
      <c r="B50" s="45"/>
      <c r="C50" s="11"/>
      <c r="D50" s="11"/>
      <c r="E50" s="11"/>
      <c r="F50" s="11"/>
      <c r="G50" s="11"/>
      <c r="H50" s="45"/>
      <c r="I50" s="11"/>
      <c r="J50" s="11"/>
      <c r="K50" s="11"/>
      <c r="L50" s="11"/>
      <c r="M50" s="11"/>
      <c r="N50" s="45"/>
      <c r="O50" s="11"/>
      <c r="P50" s="11"/>
      <c r="Q50" s="11"/>
      <c r="R50" s="52"/>
      <c r="S50" s="11"/>
    </row>
    <row r="51" spans="1:19" ht="20.25">
      <c r="A51" s="11"/>
      <c r="B51" s="45"/>
      <c r="C51" s="11"/>
      <c r="D51" s="11"/>
      <c r="E51" s="11"/>
      <c r="F51" s="11"/>
      <c r="G51" s="11"/>
      <c r="H51" s="45"/>
      <c r="I51" s="11"/>
      <c r="J51" s="11"/>
      <c r="K51" s="11"/>
      <c r="L51" s="11"/>
      <c r="M51" s="11"/>
      <c r="N51" s="45"/>
      <c r="O51" s="11"/>
      <c r="P51" s="11"/>
      <c r="Q51" s="11"/>
      <c r="R51" s="53"/>
      <c r="S51" s="11"/>
    </row>
    <row r="52" spans="1:19" ht="15.75">
      <c r="A52" s="11"/>
      <c r="B52" s="45"/>
      <c r="C52" s="11"/>
      <c r="D52" s="11"/>
      <c r="E52" s="11"/>
      <c r="F52" s="11"/>
      <c r="G52" s="11"/>
      <c r="H52" s="45"/>
      <c r="I52" s="11"/>
      <c r="J52" s="11"/>
      <c r="K52" s="11"/>
      <c r="L52" s="11"/>
      <c r="M52" s="11"/>
      <c r="N52" s="45"/>
      <c r="O52" s="11"/>
      <c r="P52" s="11"/>
      <c r="Q52" s="11"/>
      <c r="R52" s="11"/>
      <c r="S52" s="11"/>
    </row>
    <row r="53" spans="1:19" ht="15.75">
      <c r="A53" s="11"/>
      <c r="B53" s="45"/>
      <c r="C53" s="11"/>
      <c r="D53" s="11"/>
      <c r="E53" s="11"/>
      <c r="F53" s="11"/>
      <c r="G53" s="11"/>
      <c r="H53" s="45"/>
      <c r="I53" s="11"/>
      <c r="J53" s="11"/>
      <c r="K53" s="11"/>
      <c r="L53" s="11"/>
      <c r="M53" s="11"/>
      <c r="N53" s="45"/>
      <c r="O53" s="11"/>
      <c r="P53" s="11"/>
      <c r="Q53" s="11"/>
      <c r="R53" s="11"/>
      <c r="S53" s="11"/>
    </row>
  </sheetData>
  <sheetProtection/>
  <mergeCells count="6">
    <mergeCell ref="A2:S2"/>
    <mergeCell ref="A1:S1"/>
    <mergeCell ref="A3:S3"/>
    <mergeCell ref="D9:F9"/>
    <mergeCell ref="J9:L9"/>
    <mergeCell ref="P9:R9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&amp;RExhibit  No. __(MKM-2)</oddHeader>
    <oddFooter>&amp;RPage &amp;[1 of &amp;[5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4.421875" style="11" customWidth="1"/>
    <col min="2" max="2" width="15.57421875" style="11" customWidth="1"/>
    <col min="3" max="3" width="3.7109375" style="11" customWidth="1"/>
    <col min="4" max="4" width="11.7109375" style="11" customWidth="1"/>
    <col min="5" max="5" width="3.7109375" style="11" customWidth="1"/>
    <col min="6" max="6" width="11.7109375" style="11" customWidth="1"/>
    <col min="7" max="7" width="3.7109375" style="11" customWidth="1"/>
    <col min="8" max="8" width="11.7109375" style="11" customWidth="1"/>
    <col min="9" max="16384" width="9.140625" style="11" customWidth="1"/>
  </cols>
  <sheetData>
    <row r="1" spans="1:8" ht="15.75">
      <c r="A1" s="141" t="s">
        <v>44</v>
      </c>
      <c r="B1" s="141"/>
      <c r="C1" s="141"/>
      <c r="D1" s="141"/>
      <c r="E1" s="141"/>
      <c r="F1" s="141"/>
      <c r="G1" s="141"/>
      <c r="H1" s="141"/>
    </row>
    <row r="2" spans="1:8" ht="15.75">
      <c r="A2" s="140" t="s">
        <v>101</v>
      </c>
      <c r="B2" s="140"/>
      <c r="C2" s="140"/>
      <c r="D2" s="140"/>
      <c r="E2" s="140"/>
      <c r="F2" s="140"/>
      <c r="G2" s="140"/>
      <c r="H2" s="140"/>
    </row>
    <row r="3" spans="1:8" ht="15.75">
      <c r="A3" s="143"/>
      <c r="B3" s="143"/>
      <c r="C3" s="143"/>
      <c r="D3" s="143"/>
      <c r="E3" s="143"/>
      <c r="F3" s="143"/>
      <c r="G3" s="143"/>
      <c r="H3" s="143"/>
    </row>
    <row r="4" spans="1:9" ht="15.75">
      <c r="A4" s="39"/>
      <c r="B4" s="39"/>
      <c r="C4" s="39"/>
      <c r="D4" s="39"/>
      <c r="E4" s="39"/>
      <c r="F4" s="39"/>
      <c r="G4" s="39"/>
      <c r="H4" s="39"/>
      <c r="I4" s="93"/>
    </row>
    <row r="5" ht="15.75">
      <c r="A5" s="12" t="s">
        <v>102</v>
      </c>
    </row>
    <row r="6" spans="1:7" ht="15.75">
      <c r="A6" s="13" t="s">
        <v>46</v>
      </c>
      <c r="B6" s="14"/>
      <c r="C6" s="14"/>
      <c r="D6" s="15" t="s">
        <v>47</v>
      </c>
      <c r="E6" s="14"/>
      <c r="F6" s="16"/>
      <c r="G6" s="14"/>
    </row>
    <row r="7" spans="1:8" ht="15.75">
      <c r="A7" s="17">
        <v>38351</v>
      </c>
      <c r="B7" s="18" t="s">
        <v>14</v>
      </c>
      <c r="C7" s="14"/>
      <c r="D7" s="19" t="s">
        <v>48</v>
      </c>
      <c r="E7" s="14"/>
      <c r="F7" s="20" t="s">
        <v>18</v>
      </c>
      <c r="G7" s="14"/>
      <c r="H7" s="21" t="s">
        <v>49</v>
      </c>
    </row>
    <row r="8" spans="1:8" ht="15.75">
      <c r="A8" s="22"/>
      <c r="B8" s="23"/>
      <c r="D8" s="23"/>
      <c r="F8" s="23"/>
      <c r="H8" s="23"/>
    </row>
    <row r="9" spans="1:8" ht="15.75">
      <c r="A9" s="11" t="s">
        <v>103</v>
      </c>
      <c r="B9" s="24">
        <v>1149158000</v>
      </c>
      <c r="C9" s="25"/>
      <c r="D9" s="26">
        <f>+B9/B13</f>
        <v>0.537029620425069</v>
      </c>
      <c r="E9" s="25"/>
      <c r="F9" s="27">
        <v>0.0638</v>
      </c>
      <c r="G9" s="25"/>
      <c r="H9" s="27">
        <f>D9*F9</f>
        <v>0.034262489783119396</v>
      </c>
    </row>
    <row r="10" spans="2:7" ht="16.5" thickBot="1">
      <c r="B10" s="25"/>
      <c r="C10" s="25"/>
      <c r="D10" s="26"/>
      <c r="E10" s="25"/>
      <c r="F10" s="28"/>
      <c r="G10" s="25"/>
    </row>
    <row r="11" spans="1:8" ht="16.5" thickBot="1">
      <c r="A11" s="11" t="s">
        <v>51</v>
      </c>
      <c r="B11" s="29">
        <v>990683000</v>
      </c>
      <c r="C11" s="25"/>
      <c r="D11" s="30">
        <f>+B11/B13</f>
        <v>0.46297037957493103</v>
      </c>
      <c r="E11" s="31"/>
      <c r="F11" s="32">
        <v>0.108</v>
      </c>
      <c r="G11" s="33" t="s">
        <v>104</v>
      </c>
      <c r="H11" s="34">
        <f>D11*F11</f>
        <v>0.05000080099409255</v>
      </c>
    </row>
    <row r="12" spans="2:7" ht="16.5" thickBot="1">
      <c r="B12" s="25"/>
      <c r="C12" s="25"/>
      <c r="D12" s="26"/>
      <c r="E12" s="25"/>
      <c r="F12" s="31"/>
      <c r="G12" s="25"/>
    </row>
    <row r="13" spans="1:8" ht="16.5" thickBot="1">
      <c r="A13" s="35" t="s">
        <v>50</v>
      </c>
      <c r="B13" s="36">
        <f>SUM(B9:B11)</f>
        <v>2139841000</v>
      </c>
      <c r="C13" s="25"/>
      <c r="D13" s="37">
        <f>SUM(D9:D11)</f>
        <v>1</v>
      </c>
      <c r="E13" s="25"/>
      <c r="F13" s="31"/>
      <c r="G13" s="25"/>
      <c r="H13" s="38">
        <f>SUM(H9:H11)</f>
        <v>0.08426329077721195</v>
      </c>
    </row>
    <row r="14" ht="16.5" thickTop="1"/>
    <row r="16" ht="15.75">
      <c r="A16" s="12" t="s">
        <v>105</v>
      </c>
    </row>
    <row r="17" spans="1:7" ht="15.75">
      <c r="A17" s="13" t="s">
        <v>46</v>
      </c>
      <c r="B17" s="14"/>
      <c r="C17" s="14"/>
      <c r="D17" s="15" t="s">
        <v>47</v>
      </c>
      <c r="E17" s="14"/>
      <c r="F17" s="16"/>
      <c r="G17" s="14"/>
    </row>
    <row r="18" spans="1:8" ht="15.75">
      <c r="A18" s="17">
        <v>37985</v>
      </c>
      <c r="B18" s="18" t="s">
        <v>14</v>
      </c>
      <c r="C18" s="14"/>
      <c r="D18" s="19" t="s">
        <v>48</v>
      </c>
      <c r="E18" s="14"/>
      <c r="F18" s="20" t="s">
        <v>18</v>
      </c>
      <c r="G18" s="14"/>
      <c r="H18" s="21" t="s">
        <v>49</v>
      </c>
    </row>
    <row r="19" spans="1:8" ht="15.75">
      <c r="A19" s="22"/>
      <c r="B19" s="23"/>
      <c r="D19" s="23"/>
      <c r="F19" s="23"/>
      <c r="H19" s="23"/>
    </row>
    <row r="20" spans="1:8" ht="15.75">
      <c r="A20" s="11" t="s">
        <v>103</v>
      </c>
      <c r="B20" s="24">
        <v>1075395583</v>
      </c>
      <c r="C20" s="25"/>
      <c r="D20" s="26">
        <f>+B20/B24</f>
        <v>0.5345182574847361</v>
      </c>
      <c r="E20" s="25"/>
      <c r="F20" s="27">
        <v>0.0788</v>
      </c>
      <c r="G20" s="25"/>
      <c r="H20" s="27">
        <f>D20*F20</f>
        <v>0.042120038689797204</v>
      </c>
    </row>
    <row r="21" spans="2:7" ht="16.5" thickBot="1">
      <c r="B21" s="25"/>
      <c r="C21" s="25"/>
      <c r="D21" s="26"/>
      <c r="E21" s="25"/>
      <c r="F21" s="28"/>
      <c r="G21" s="25"/>
    </row>
    <row r="22" spans="1:8" ht="16.5" thickBot="1">
      <c r="A22" s="11" t="s">
        <v>51</v>
      </c>
      <c r="B22" s="29">
        <v>936501238</v>
      </c>
      <c r="C22" s="25"/>
      <c r="D22" s="30">
        <f>+B22/B24</f>
        <v>0.4654817425152639</v>
      </c>
      <c r="E22" s="31"/>
      <c r="F22" s="32">
        <v>0.104</v>
      </c>
      <c r="G22" s="33"/>
      <c r="H22" s="34">
        <f>D22*F22</f>
        <v>0.04841010122158745</v>
      </c>
    </row>
    <row r="23" spans="2:7" ht="16.5" thickBot="1">
      <c r="B23" s="25"/>
      <c r="C23" s="25"/>
      <c r="D23" s="26"/>
      <c r="E23" s="25"/>
      <c r="F23" s="31"/>
      <c r="G23" s="25"/>
    </row>
    <row r="24" spans="1:8" ht="16.5" thickBot="1">
      <c r="A24" s="35" t="s">
        <v>50</v>
      </c>
      <c r="B24" s="36">
        <f>SUM(B20:B22)</f>
        <v>2011896821</v>
      </c>
      <c r="C24" s="25"/>
      <c r="D24" s="37">
        <f>SUM(D20:D22)</f>
        <v>1</v>
      </c>
      <c r="E24" s="25"/>
      <c r="F24" s="31"/>
      <c r="G24" s="25"/>
      <c r="H24" s="38">
        <f>SUM(H20:H22)</f>
        <v>0.09053013991138464</v>
      </c>
    </row>
    <row r="25" ht="16.5" thickTop="1"/>
    <row r="29" ht="15.75">
      <c r="A29" s="11" t="s">
        <v>106</v>
      </c>
    </row>
    <row r="30" ht="15.75">
      <c r="A30" s="11" t="s">
        <v>107</v>
      </c>
    </row>
    <row r="31" ht="15.75">
      <c r="A31" s="11" t="s">
        <v>108</v>
      </c>
    </row>
    <row r="32" ht="15.75">
      <c r="A32" s="11" t="s">
        <v>109</v>
      </c>
    </row>
    <row r="36" ht="15.75">
      <c r="A36" s="11" t="s">
        <v>89</v>
      </c>
    </row>
    <row r="37" ht="15.75">
      <c r="A37" s="11" t="s">
        <v>91</v>
      </c>
    </row>
    <row r="38" ht="15.75">
      <c r="A38" s="11" t="s">
        <v>90</v>
      </c>
    </row>
    <row r="39" ht="15.75">
      <c r="A39" s="11" t="s">
        <v>110</v>
      </c>
    </row>
    <row r="40" ht="15.75">
      <c r="A40" s="11" t="s">
        <v>112</v>
      </c>
    </row>
    <row r="41" ht="15.75">
      <c r="A41" s="11" t="s">
        <v>111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r:id="rId1"/>
  <headerFooter alignWithMargins="0">
    <oddHeader>&amp;RExhibit  No. __(MKM-2)</oddHeader>
    <oddFooter>&amp;RPage &amp;[2 of &amp;[5</oddFooter>
  </headerFooter>
  <ignoredErrors>
    <ignoredError sqref="G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.00390625" style="1" bestFit="1" customWidth="1"/>
    <col min="2" max="2" width="1.7109375" style="1" customWidth="1"/>
    <col min="3" max="3" width="12.8515625" style="1" bestFit="1" customWidth="1"/>
    <col min="4" max="4" width="1.7109375" style="1" customWidth="1"/>
    <col min="5" max="5" width="9.7109375" style="3" customWidth="1"/>
    <col min="6" max="6" width="1.7109375" style="1" customWidth="1"/>
    <col min="7" max="7" width="11.7109375" style="2" customWidth="1"/>
    <col min="8" max="8" width="1.7109375" style="1" customWidth="1"/>
    <col min="9" max="9" width="10.421875" style="3" customWidth="1"/>
    <col min="10" max="10" width="1.7109375" style="1" customWidth="1"/>
    <col min="11" max="11" width="10.7109375" style="3" customWidth="1"/>
    <col min="12" max="12" width="1.7109375" style="1" customWidth="1"/>
    <col min="13" max="13" width="9.8515625" style="3" customWidth="1"/>
    <col min="14" max="14" width="1.7109375" style="1" customWidth="1"/>
    <col min="15" max="15" width="9.7109375" style="3" customWidth="1"/>
    <col min="16" max="16" width="1.7109375" style="1" customWidth="1"/>
    <col min="17" max="17" width="11.7109375" style="3" customWidth="1"/>
    <col min="18" max="18" width="1.7109375" style="1" customWidth="1"/>
    <col min="19" max="19" width="8.7109375" style="4" customWidth="1"/>
    <col min="20" max="20" width="1.7109375" style="4" customWidth="1"/>
    <col min="21" max="21" width="12.421875" style="4" customWidth="1"/>
    <col min="22" max="22" width="1.7109375" style="4" customWidth="1"/>
    <col min="23" max="23" width="10.7109375" style="4" customWidth="1"/>
    <col min="24" max="24" width="1.7109375" style="4" customWidth="1"/>
    <col min="25" max="25" width="3.7109375" style="1" customWidth="1"/>
    <col min="26" max="16384" width="11.421875" style="1" customWidth="1"/>
  </cols>
  <sheetData>
    <row r="1" spans="1:25" ht="11.2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5" ht="11.25">
      <c r="A2" s="145" t="s">
        <v>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ht="12.75" customHeight="1">
      <c r="A3" s="146">
        <v>38351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5" ht="6.75" customHeight="1">
      <c r="A4" s="54"/>
      <c r="B4" s="54"/>
      <c r="C4" s="54"/>
      <c r="D4" s="54"/>
      <c r="E4" s="55"/>
      <c r="F4" s="54"/>
      <c r="G4" s="56"/>
      <c r="H4" s="54"/>
      <c r="I4" s="55"/>
      <c r="J4" s="54"/>
      <c r="K4" s="54"/>
      <c r="L4" s="54"/>
      <c r="M4" s="57"/>
      <c r="N4" s="57"/>
      <c r="O4" s="58"/>
      <c r="P4" s="54"/>
      <c r="Q4" s="55"/>
      <c r="R4" s="54"/>
      <c r="S4" s="59"/>
      <c r="T4" s="59"/>
      <c r="U4" s="59"/>
      <c r="V4" s="59"/>
      <c r="W4" s="59"/>
      <c r="X4" s="59"/>
      <c r="Y4" s="54"/>
    </row>
    <row r="5" spans="1:25" s="5" customFormat="1" ht="11.25">
      <c r="A5" s="60"/>
      <c r="B5" s="60"/>
      <c r="C5" s="60"/>
      <c r="D5" s="60"/>
      <c r="E5" s="57"/>
      <c r="F5" s="60"/>
      <c r="G5" s="61"/>
      <c r="H5" s="60"/>
      <c r="I5" s="57"/>
      <c r="J5" s="60"/>
      <c r="K5" s="57"/>
      <c r="L5" s="60"/>
      <c r="M5" s="57"/>
      <c r="N5" s="60"/>
      <c r="O5" s="57"/>
      <c r="P5" s="60"/>
      <c r="Q5" s="57"/>
      <c r="R5" s="60"/>
      <c r="S5" s="62"/>
      <c r="T5" s="62"/>
      <c r="U5" s="62" t="s">
        <v>0</v>
      </c>
      <c r="V5" s="96"/>
      <c r="W5" s="95"/>
      <c r="X5" s="62"/>
      <c r="Y5" s="60"/>
    </row>
    <row r="6" spans="1:25" s="5" customFormat="1" ht="11.25">
      <c r="A6" s="60" t="s">
        <v>1</v>
      </c>
      <c r="B6" s="60"/>
      <c r="C6" s="60"/>
      <c r="D6" s="60"/>
      <c r="E6" s="57" t="s">
        <v>2</v>
      </c>
      <c r="F6" s="60"/>
      <c r="G6" s="61" t="s">
        <v>3</v>
      </c>
      <c r="H6" s="60"/>
      <c r="I6" s="57" t="s">
        <v>4</v>
      </c>
      <c r="J6" s="60"/>
      <c r="K6" s="57" t="s">
        <v>0</v>
      </c>
      <c r="L6" s="60"/>
      <c r="M6" s="57" t="s">
        <v>5</v>
      </c>
      <c r="N6" s="60"/>
      <c r="O6" s="60" t="s">
        <v>6</v>
      </c>
      <c r="P6" s="60"/>
      <c r="Q6" s="57" t="s">
        <v>7</v>
      </c>
      <c r="R6" s="60"/>
      <c r="S6" s="62" t="s">
        <v>8</v>
      </c>
      <c r="T6" s="62"/>
      <c r="U6" s="62" t="s">
        <v>9</v>
      </c>
      <c r="V6" s="96"/>
      <c r="W6" s="62" t="s">
        <v>10</v>
      </c>
      <c r="X6" s="62"/>
      <c r="Y6" s="60" t="s">
        <v>1</v>
      </c>
    </row>
    <row r="7" spans="1:25" s="5" customFormat="1" ht="11.25">
      <c r="A7" s="63" t="s">
        <v>11</v>
      </c>
      <c r="B7" s="60"/>
      <c r="C7" s="63" t="s">
        <v>73</v>
      </c>
      <c r="D7" s="60"/>
      <c r="E7" s="64" t="s">
        <v>12</v>
      </c>
      <c r="F7" s="63"/>
      <c r="G7" s="65" t="s">
        <v>13</v>
      </c>
      <c r="H7" s="60"/>
      <c r="I7" s="64" t="s">
        <v>13</v>
      </c>
      <c r="J7" s="60"/>
      <c r="K7" s="64" t="s">
        <v>14</v>
      </c>
      <c r="L7" s="60"/>
      <c r="M7" s="64" t="s">
        <v>15</v>
      </c>
      <c r="N7" s="60"/>
      <c r="O7" s="63" t="s">
        <v>16</v>
      </c>
      <c r="P7" s="60"/>
      <c r="Q7" s="64" t="s">
        <v>17</v>
      </c>
      <c r="R7" s="60"/>
      <c r="S7" s="66" t="s">
        <v>3</v>
      </c>
      <c r="T7" s="94"/>
      <c r="U7" s="97">
        <v>38351</v>
      </c>
      <c r="V7" s="96"/>
      <c r="W7" s="66" t="s">
        <v>18</v>
      </c>
      <c r="X7" s="94"/>
      <c r="Y7" s="63" t="s">
        <v>11</v>
      </c>
    </row>
    <row r="8" spans="1:25" ht="11.25">
      <c r="A8" s="54"/>
      <c r="B8" s="54"/>
      <c r="C8" s="60" t="s">
        <v>33</v>
      </c>
      <c r="D8" s="60"/>
      <c r="E8" s="57" t="s">
        <v>34</v>
      </c>
      <c r="F8" s="60"/>
      <c r="G8" s="67" t="s">
        <v>43</v>
      </c>
      <c r="H8" s="60"/>
      <c r="I8" s="57" t="s">
        <v>35</v>
      </c>
      <c r="J8" s="60"/>
      <c r="K8" s="57" t="s">
        <v>36</v>
      </c>
      <c r="L8" s="60"/>
      <c r="M8" s="57" t="s">
        <v>37</v>
      </c>
      <c r="N8" s="60"/>
      <c r="O8" s="57" t="s">
        <v>38</v>
      </c>
      <c r="P8" s="60"/>
      <c r="Q8" s="57" t="s">
        <v>39</v>
      </c>
      <c r="R8" s="60"/>
      <c r="S8" s="62" t="s">
        <v>40</v>
      </c>
      <c r="T8" s="62"/>
      <c r="U8" s="62" t="s">
        <v>40</v>
      </c>
      <c r="V8" s="60"/>
      <c r="W8" s="57" t="s">
        <v>41</v>
      </c>
      <c r="X8" s="62"/>
      <c r="Y8" s="54"/>
    </row>
    <row r="9" spans="1:25" ht="11.25">
      <c r="A9" s="54">
        <v>1</v>
      </c>
      <c r="B9" s="68"/>
      <c r="C9" s="54" t="s">
        <v>21</v>
      </c>
      <c r="D9" s="68"/>
      <c r="E9" s="54" t="s">
        <v>19</v>
      </c>
      <c r="F9" s="55"/>
      <c r="G9" s="69">
        <v>38959</v>
      </c>
      <c r="H9" s="70"/>
      <c r="I9" s="69">
        <v>32628</v>
      </c>
      <c r="J9" s="54"/>
      <c r="K9" s="55"/>
      <c r="L9" s="54"/>
      <c r="M9" s="55">
        <v>373693.39</v>
      </c>
      <c r="N9" s="54"/>
      <c r="O9" s="55"/>
      <c r="P9" s="54"/>
      <c r="Q9" s="55"/>
      <c r="R9" s="54"/>
      <c r="S9" s="59"/>
      <c r="T9" s="59"/>
      <c r="U9" s="98"/>
      <c r="V9" s="99"/>
      <c r="W9" s="98">
        <v>21663</v>
      </c>
      <c r="X9" s="59"/>
      <c r="Y9" s="54">
        <f>+A9</f>
        <v>1</v>
      </c>
    </row>
    <row r="10" spans="1:25" ht="11.25">
      <c r="A10" s="54">
        <f aca="true" t="shared" si="0" ref="A10:A38">+A9+1</f>
        <v>2</v>
      </c>
      <c r="B10" s="54"/>
      <c r="C10" s="54" t="s">
        <v>21</v>
      </c>
      <c r="D10" s="54"/>
      <c r="E10" s="71">
        <v>0.0667</v>
      </c>
      <c r="F10" s="54"/>
      <c r="G10" s="69">
        <v>38909</v>
      </c>
      <c r="H10" s="70"/>
      <c r="I10" s="69">
        <v>32700</v>
      </c>
      <c r="J10" s="54"/>
      <c r="K10" s="55">
        <v>5000000</v>
      </c>
      <c r="L10" s="54"/>
      <c r="M10" s="55">
        <v>35081</v>
      </c>
      <c r="N10" s="54"/>
      <c r="O10" s="55">
        <v>690464</v>
      </c>
      <c r="P10" s="54"/>
      <c r="Q10" s="55">
        <f aca="true" t="shared" si="1" ref="Q10:Q16">K10-M10-O10</f>
        <v>4274455</v>
      </c>
      <c r="R10" s="54"/>
      <c r="S10" s="72">
        <f aca="true" t="shared" si="2" ref="S10:S16">YIELD(I10,G10,E10,Q10/K10*100,100,2,0)</f>
        <v>0.08275293617036453</v>
      </c>
      <c r="T10" s="72"/>
      <c r="U10" s="100">
        <f aca="true" t="shared" si="3" ref="U10:U32">K10</f>
        <v>5000000</v>
      </c>
      <c r="V10" s="99"/>
      <c r="W10" s="100">
        <f>S10*U10</f>
        <v>413764.68085182266</v>
      </c>
      <c r="X10" s="72"/>
      <c r="Y10" s="54">
        <f aca="true" t="shared" si="4" ref="Y10:Y47">+A10</f>
        <v>2</v>
      </c>
    </row>
    <row r="11" spans="1:25" ht="11.25">
      <c r="A11" s="54">
        <f>+A10+1</f>
        <v>3</v>
      </c>
      <c r="B11" s="54"/>
      <c r="C11" s="54" t="s">
        <v>21</v>
      </c>
      <c r="D11" s="54"/>
      <c r="E11" s="71">
        <v>0.0718</v>
      </c>
      <c r="F11" s="54"/>
      <c r="G11" s="69">
        <v>43687</v>
      </c>
      <c r="H11" s="70"/>
      <c r="I11" s="69">
        <v>32731</v>
      </c>
      <c r="J11" s="54"/>
      <c r="K11" s="55">
        <v>7000000</v>
      </c>
      <c r="L11" s="54"/>
      <c r="M11" s="55">
        <v>54364</v>
      </c>
      <c r="N11" s="54"/>
      <c r="O11" s="55"/>
      <c r="P11" s="54"/>
      <c r="Q11" s="55">
        <f t="shared" si="1"/>
        <v>6945636</v>
      </c>
      <c r="R11" s="54"/>
      <c r="S11" s="72">
        <f t="shared" si="2"/>
        <v>0.07243776820381895</v>
      </c>
      <c r="T11" s="72"/>
      <c r="U11" s="100">
        <f t="shared" si="3"/>
        <v>7000000</v>
      </c>
      <c r="V11" s="101"/>
      <c r="W11" s="100">
        <f>S11*U11</f>
        <v>507064.3774267326</v>
      </c>
      <c r="X11" s="72"/>
      <c r="Y11" s="54">
        <f t="shared" si="4"/>
        <v>3</v>
      </c>
    </row>
    <row r="12" spans="1:25" ht="11.25">
      <c r="A12" s="54">
        <f t="shared" si="0"/>
        <v>4</v>
      </c>
      <c r="B12" s="54"/>
      <c r="C12" s="54" t="s">
        <v>21</v>
      </c>
      <c r="D12" s="54"/>
      <c r="E12" s="71">
        <v>0.0737</v>
      </c>
      <c r="F12" s="54"/>
      <c r="G12" s="69">
        <v>39577</v>
      </c>
      <c r="H12" s="70"/>
      <c r="I12" s="69">
        <v>32637</v>
      </c>
      <c r="J12" s="54"/>
      <c r="K12" s="55">
        <v>7000000</v>
      </c>
      <c r="L12" s="54"/>
      <c r="M12" s="55">
        <v>49114</v>
      </c>
      <c r="N12" s="54"/>
      <c r="O12" s="55">
        <v>1227883</v>
      </c>
      <c r="P12" s="54"/>
      <c r="Q12" s="55">
        <f t="shared" si="1"/>
        <v>5723003</v>
      </c>
      <c r="R12" s="54"/>
      <c r="S12" s="72">
        <f t="shared" si="2"/>
        <v>0.09455378987454881</v>
      </c>
      <c r="T12" s="72"/>
      <c r="U12" s="100">
        <f t="shared" si="3"/>
        <v>7000000</v>
      </c>
      <c r="V12" s="72"/>
      <c r="W12" s="100">
        <f aca="true" t="shared" si="5" ref="W12:W32">S12*U12</f>
        <v>661876.5291218417</v>
      </c>
      <c r="X12" s="72"/>
      <c r="Y12" s="54">
        <f t="shared" si="4"/>
        <v>4</v>
      </c>
    </row>
    <row r="13" spans="1:25" ht="11.25">
      <c r="A13" s="54">
        <f t="shared" si="0"/>
        <v>5</v>
      </c>
      <c r="B13" s="54"/>
      <c r="C13" s="54" t="s">
        <v>21</v>
      </c>
      <c r="D13" s="54"/>
      <c r="E13" s="71">
        <v>0.0739</v>
      </c>
      <c r="F13" s="54"/>
      <c r="G13" s="69">
        <v>41769</v>
      </c>
      <c r="H13" s="70"/>
      <c r="I13" s="69">
        <v>32638</v>
      </c>
      <c r="J13" s="54"/>
      <c r="K13" s="55">
        <v>7000000</v>
      </c>
      <c r="L13" s="54"/>
      <c r="M13" s="55">
        <v>54364</v>
      </c>
      <c r="N13" s="54"/>
      <c r="O13" s="55">
        <v>1227883</v>
      </c>
      <c r="P13" s="54"/>
      <c r="Q13" s="55">
        <f t="shared" si="1"/>
        <v>5717753</v>
      </c>
      <c r="R13" s="54"/>
      <c r="S13" s="72">
        <f t="shared" si="2"/>
        <v>0.0928734851194172</v>
      </c>
      <c r="T13" s="72"/>
      <c r="U13" s="100">
        <f t="shared" si="3"/>
        <v>7000000</v>
      </c>
      <c r="V13" s="72"/>
      <c r="W13" s="100">
        <f t="shared" si="5"/>
        <v>650114.3958359205</v>
      </c>
      <c r="X13" s="72"/>
      <c r="Y13" s="54">
        <f t="shared" si="4"/>
        <v>5</v>
      </c>
    </row>
    <row r="14" spans="1:25" ht="11.25">
      <c r="A14" s="54">
        <f t="shared" si="0"/>
        <v>6</v>
      </c>
      <c r="B14" s="54"/>
      <c r="C14" s="54" t="s">
        <v>21</v>
      </c>
      <c r="D14" s="54"/>
      <c r="E14" s="71">
        <v>0.0745</v>
      </c>
      <c r="F14" s="54"/>
      <c r="G14" s="69">
        <v>41800</v>
      </c>
      <c r="H14" s="70"/>
      <c r="I14" s="69">
        <v>32667</v>
      </c>
      <c r="J14" s="54"/>
      <c r="K14" s="55">
        <v>15500000</v>
      </c>
      <c r="L14" s="54"/>
      <c r="M14" s="55">
        <v>170597</v>
      </c>
      <c r="N14" s="54"/>
      <c r="O14" s="55">
        <v>2140440</v>
      </c>
      <c r="P14" s="54"/>
      <c r="Q14" s="55">
        <f t="shared" si="1"/>
        <v>13188963</v>
      </c>
      <c r="R14" s="54"/>
      <c r="S14" s="72">
        <f t="shared" si="2"/>
        <v>0.08953000595880421</v>
      </c>
      <c r="T14" s="72"/>
      <c r="U14" s="100">
        <f t="shared" si="3"/>
        <v>15500000</v>
      </c>
      <c r="V14" s="72"/>
      <c r="W14" s="100">
        <f t="shared" si="5"/>
        <v>1387715.0923614653</v>
      </c>
      <c r="X14" s="72"/>
      <c r="Y14" s="54">
        <f t="shared" si="4"/>
        <v>6</v>
      </c>
    </row>
    <row r="15" spans="1:25" ht="11.25">
      <c r="A15" s="54">
        <f t="shared" si="0"/>
        <v>7</v>
      </c>
      <c r="B15" s="54"/>
      <c r="C15" s="54" t="s">
        <v>21</v>
      </c>
      <c r="D15" s="54"/>
      <c r="E15" s="71">
        <v>0.0753</v>
      </c>
      <c r="F15" s="54"/>
      <c r="G15" s="69">
        <v>43589</v>
      </c>
      <c r="H15" s="70"/>
      <c r="I15" s="69">
        <v>32633</v>
      </c>
      <c r="J15" s="54"/>
      <c r="K15" s="55">
        <v>5500000</v>
      </c>
      <c r="L15" s="54"/>
      <c r="M15" s="55">
        <v>42712</v>
      </c>
      <c r="N15" s="54"/>
      <c r="O15" s="55">
        <v>963011</v>
      </c>
      <c r="P15" s="54"/>
      <c r="Q15" s="55">
        <f t="shared" si="1"/>
        <v>4494277</v>
      </c>
      <c r="R15" s="54"/>
      <c r="S15" s="72">
        <f t="shared" si="2"/>
        <v>0.09358987019647258</v>
      </c>
      <c r="T15" s="72"/>
      <c r="U15" s="100">
        <f t="shared" si="3"/>
        <v>5500000</v>
      </c>
      <c r="V15" s="72"/>
      <c r="W15" s="100">
        <f t="shared" si="5"/>
        <v>514744.2860805992</v>
      </c>
      <c r="X15" s="72"/>
      <c r="Y15" s="54">
        <f t="shared" si="4"/>
        <v>7</v>
      </c>
    </row>
    <row r="16" spans="1:25" ht="11.25">
      <c r="A16" s="54">
        <f t="shared" si="0"/>
        <v>8</v>
      </c>
      <c r="B16" s="54"/>
      <c r="C16" s="54" t="s">
        <v>21</v>
      </c>
      <c r="D16" s="54"/>
      <c r="E16" s="71">
        <v>0.0754</v>
      </c>
      <c r="F16" s="54"/>
      <c r="G16" s="69">
        <v>43589</v>
      </c>
      <c r="H16" s="70"/>
      <c r="I16" s="69">
        <v>32634</v>
      </c>
      <c r="J16" s="54"/>
      <c r="K16" s="55">
        <v>1000000</v>
      </c>
      <c r="L16" s="54"/>
      <c r="M16" s="55">
        <v>7726</v>
      </c>
      <c r="N16" s="54"/>
      <c r="O16" s="55">
        <v>175412</v>
      </c>
      <c r="P16" s="54"/>
      <c r="Q16" s="55">
        <f t="shared" si="1"/>
        <v>816862</v>
      </c>
      <c r="R16" s="54"/>
      <c r="S16" s="72">
        <f t="shared" si="2"/>
        <v>0.09374193274073898</v>
      </c>
      <c r="T16" s="72"/>
      <c r="U16" s="100">
        <f t="shared" si="3"/>
        <v>1000000</v>
      </c>
      <c r="V16" s="72"/>
      <c r="W16" s="100">
        <f t="shared" si="5"/>
        <v>93741.93274073898</v>
      </c>
      <c r="X16" s="72"/>
      <c r="Y16" s="54">
        <f t="shared" si="4"/>
        <v>8</v>
      </c>
    </row>
    <row r="17" spans="1:25" ht="11.25">
      <c r="A17" s="54">
        <f t="shared" si="0"/>
        <v>9</v>
      </c>
      <c r="B17" s="68"/>
      <c r="C17" s="54" t="s">
        <v>22</v>
      </c>
      <c r="D17" s="68"/>
      <c r="E17" s="54" t="s">
        <v>19</v>
      </c>
      <c r="F17" s="54"/>
      <c r="G17" s="69">
        <v>38472</v>
      </c>
      <c r="H17" s="70"/>
      <c r="I17" s="69">
        <v>32993</v>
      </c>
      <c r="J17" s="54"/>
      <c r="K17" s="55"/>
      <c r="L17" s="54"/>
      <c r="M17" s="73">
        <v>329022.29</v>
      </c>
      <c r="N17" s="54"/>
      <c r="O17" s="55"/>
      <c r="P17" s="54"/>
      <c r="Q17" s="55"/>
      <c r="R17" s="54"/>
      <c r="S17" s="59"/>
      <c r="T17" s="59"/>
      <c r="U17" s="100"/>
      <c r="V17" s="59"/>
      <c r="W17" s="100">
        <v>21935</v>
      </c>
      <c r="X17" s="59"/>
      <c r="Y17" s="54">
        <f t="shared" si="4"/>
        <v>9</v>
      </c>
    </row>
    <row r="18" spans="1:25" ht="11.25">
      <c r="A18" s="54">
        <f t="shared" si="0"/>
        <v>10</v>
      </c>
      <c r="B18" s="68"/>
      <c r="C18" s="54" t="s">
        <v>22</v>
      </c>
      <c r="D18" s="68"/>
      <c r="E18" s="71">
        <v>0.069</v>
      </c>
      <c r="F18" s="54"/>
      <c r="G18" s="69">
        <v>38898</v>
      </c>
      <c r="H18" s="70"/>
      <c r="I18" s="69">
        <v>33397</v>
      </c>
      <c r="J18" s="54"/>
      <c r="K18" s="55">
        <v>5000000</v>
      </c>
      <c r="L18" s="54"/>
      <c r="M18" s="55">
        <v>37944</v>
      </c>
      <c r="N18" s="54"/>
      <c r="O18" s="55"/>
      <c r="P18" s="54"/>
      <c r="Q18" s="55">
        <f aca="true" t="shared" si="6" ref="Q18:Q23">K18-M18-O18</f>
        <v>4962056</v>
      </c>
      <c r="R18" s="54"/>
      <c r="S18" s="72">
        <f aca="true" t="shared" si="7" ref="S18:S25">YIELD(I18,G18,E18,Q18/K18*100,100,2,0)</f>
        <v>0.06981544901176812</v>
      </c>
      <c r="T18" s="72"/>
      <c r="U18" s="100">
        <f t="shared" si="3"/>
        <v>5000000</v>
      </c>
      <c r="V18" s="72"/>
      <c r="W18" s="100">
        <f t="shared" si="5"/>
        <v>349077.2450588406</v>
      </c>
      <c r="X18" s="72"/>
      <c r="Y18" s="54">
        <f t="shared" si="4"/>
        <v>10</v>
      </c>
    </row>
    <row r="19" spans="1:25" ht="12.75" customHeight="1">
      <c r="A19" s="54">
        <f t="shared" si="0"/>
        <v>11</v>
      </c>
      <c r="B19" s="68"/>
      <c r="C19" s="54" t="s">
        <v>23</v>
      </c>
      <c r="D19" s="68"/>
      <c r="E19" s="71">
        <v>0.057</v>
      </c>
      <c r="F19" s="54"/>
      <c r="G19" s="69">
        <v>48760</v>
      </c>
      <c r="H19" s="70"/>
      <c r="I19" s="69">
        <v>37604</v>
      </c>
      <c r="J19" s="54"/>
      <c r="K19" s="55">
        <v>150000000</v>
      </c>
      <c r="L19" s="54"/>
      <c r="M19" s="55">
        <v>8646793</v>
      </c>
      <c r="N19" s="54"/>
      <c r="O19" s="55"/>
      <c r="P19" s="54"/>
      <c r="Q19" s="55">
        <f t="shared" si="6"/>
        <v>141353207</v>
      </c>
      <c r="R19" s="54"/>
      <c r="S19" s="72">
        <f t="shared" si="7"/>
        <v>0.061189953155818766</v>
      </c>
      <c r="T19" s="72"/>
      <c r="U19" s="100">
        <f t="shared" si="3"/>
        <v>150000000</v>
      </c>
      <c r="V19" s="72"/>
      <c r="W19" s="100">
        <f t="shared" si="5"/>
        <v>9178492.973372815</v>
      </c>
      <c r="X19" s="72"/>
      <c r="Y19" s="54">
        <f t="shared" si="4"/>
        <v>11</v>
      </c>
    </row>
    <row r="20" spans="1:25" ht="11.25">
      <c r="A20" s="54">
        <f t="shared" si="0"/>
        <v>12</v>
      </c>
      <c r="B20" s="54"/>
      <c r="C20" s="54" t="s">
        <v>24</v>
      </c>
      <c r="D20" s="54"/>
      <c r="E20" s="74">
        <v>0.06125</v>
      </c>
      <c r="F20" s="54"/>
      <c r="G20" s="69">
        <v>40056</v>
      </c>
      <c r="H20" s="54"/>
      <c r="I20" s="69">
        <v>36410</v>
      </c>
      <c r="J20" s="54"/>
      <c r="K20" s="55">
        <v>45000000</v>
      </c>
      <c r="L20" s="54"/>
      <c r="M20" s="55">
        <v>931413</v>
      </c>
      <c r="N20" s="54"/>
      <c r="O20" s="55">
        <v>815824</v>
      </c>
      <c r="P20" s="54"/>
      <c r="Q20" s="73">
        <f t="shared" si="6"/>
        <v>43252763</v>
      </c>
      <c r="R20" s="75"/>
      <c r="S20" s="76">
        <f t="shared" si="7"/>
        <v>0.06663589034117824</v>
      </c>
      <c r="T20" s="76"/>
      <c r="U20" s="100">
        <f t="shared" si="3"/>
        <v>45000000</v>
      </c>
      <c r="V20" s="76"/>
      <c r="W20" s="100">
        <f t="shared" si="5"/>
        <v>2998615.065353021</v>
      </c>
      <c r="X20" s="76"/>
      <c r="Y20" s="54">
        <f t="shared" si="4"/>
        <v>12</v>
      </c>
    </row>
    <row r="21" spans="1:25" ht="11.25">
      <c r="A21" s="54">
        <f t="shared" si="0"/>
        <v>13</v>
      </c>
      <c r="B21" s="54"/>
      <c r="C21" s="54" t="s">
        <v>25</v>
      </c>
      <c r="D21" s="54"/>
      <c r="E21" s="74">
        <v>0.0545</v>
      </c>
      <c r="F21" s="54"/>
      <c r="G21" s="69">
        <v>42338</v>
      </c>
      <c r="H21" s="54"/>
      <c r="I21" s="69">
        <v>36847</v>
      </c>
      <c r="J21" s="54"/>
      <c r="K21" s="55">
        <v>90000000</v>
      </c>
      <c r="L21" s="54"/>
      <c r="M21" s="55">
        <v>1435924</v>
      </c>
      <c r="N21" s="54"/>
      <c r="O21" s="55"/>
      <c r="P21" s="54"/>
      <c r="Q21" s="73">
        <f t="shared" si="6"/>
        <v>88564076</v>
      </c>
      <c r="R21" s="75"/>
      <c r="S21" s="76">
        <f t="shared" si="7"/>
        <v>0.05608207890833117</v>
      </c>
      <c r="T21" s="76"/>
      <c r="U21" s="100">
        <f t="shared" si="3"/>
        <v>90000000</v>
      </c>
      <c r="V21" s="76"/>
      <c r="W21" s="100">
        <f t="shared" si="5"/>
        <v>5047387.101749805</v>
      </c>
      <c r="X21" s="76"/>
      <c r="Y21" s="54">
        <f t="shared" si="4"/>
        <v>13</v>
      </c>
    </row>
    <row r="22" spans="1:25" ht="11.25">
      <c r="A22" s="54">
        <f t="shared" si="0"/>
        <v>14</v>
      </c>
      <c r="B22" s="54"/>
      <c r="C22" s="54" t="s">
        <v>26</v>
      </c>
      <c r="D22" s="54"/>
      <c r="E22" s="74">
        <v>0.0625</v>
      </c>
      <c r="F22" s="54"/>
      <c r="G22" s="69">
        <v>48182</v>
      </c>
      <c r="H22" s="54"/>
      <c r="I22" s="69">
        <v>37211</v>
      </c>
      <c r="J22" s="54"/>
      <c r="K22" s="55">
        <v>150000000</v>
      </c>
      <c r="L22" s="54"/>
      <c r="M22" s="55">
        <v>-2185830</v>
      </c>
      <c r="N22" s="54"/>
      <c r="O22" s="55">
        <v>1696693.81</v>
      </c>
      <c r="P22" s="54"/>
      <c r="Q22" s="73">
        <f t="shared" si="6"/>
        <v>150489136.19</v>
      </c>
      <c r="R22" s="75"/>
      <c r="S22" s="76">
        <f t="shared" si="7"/>
        <v>0.0622561787773767</v>
      </c>
      <c r="T22" s="76"/>
      <c r="U22" s="100">
        <f t="shared" si="3"/>
        <v>150000000</v>
      </c>
      <c r="V22" s="76"/>
      <c r="W22" s="100">
        <f t="shared" si="5"/>
        <v>9338426.816606505</v>
      </c>
      <c r="X22" s="76"/>
      <c r="Y22" s="54">
        <f t="shared" si="4"/>
        <v>14</v>
      </c>
    </row>
    <row r="23" spans="1:25" ht="11.25">
      <c r="A23" s="54">
        <f t="shared" si="0"/>
        <v>15</v>
      </c>
      <c r="B23" s="54"/>
      <c r="C23" s="54" t="s">
        <v>27</v>
      </c>
      <c r="D23" s="54"/>
      <c r="E23" s="71">
        <v>0.06</v>
      </c>
      <c r="F23" s="54"/>
      <c r="G23" s="69">
        <v>43799</v>
      </c>
      <c r="H23" s="70"/>
      <c r="I23" s="69">
        <v>32717</v>
      </c>
      <c r="J23" s="54"/>
      <c r="K23" s="55">
        <v>4100000</v>
      </c>
      <c r="L23" s="54"/>
      <c r="M23" s="55">
        <v>282248</v>
      </c>
      <c r="N23" s="54"/>
      <c r="O23" s="55"/>
      <c r="P23" s="54"/>
      <c r="Q23" s="73">
        <f t="shared" si="6"/>
        <v>3817752</v>
      </c>
      <c r="R23" s="75"/>
      <c r="S23" s="76">
        <f t="shared" si="7"/>
        <v>0.06522959152092711</v>
      </c>
      <c r="T23" s="76"/>
      <c r="U23" s="100">
        <f t="shared" si="3"/>
        <v>4100000</v>
      </c>
      <c r="V23" s="76"/>
      <c r="W23" s="100">
        <f t="shared" si="5"/>
        <v>267441.32523580117</v>
      </c>
      <c r="X23" s="76"/>
      <c r="Y23" s="54">
        <f t="shared" si="4"/>
        <v>15</v>
      </c>
    </row>
    <row r="24" spans="1:25" ht="11.25">
      <c r="A24" s="54">
        <f t="shared" si="0"/>
        <v>16</v>
      </c>
      <c r="B24" s="77">
        <v>1</v>
      </c>
      <c r="C24" s="54" t="s">
        <v>28</v>
      </c>
      <c r="D24" s="54"/>
      <c r="E24" s="71">
        <v>0.05</v>
      </c>
      <c r="F24" s="54"/>
      <c r="G24" s="69">
        <v>47026</v>
      </c>
      <c r="H24" s="70"/>
      <c r="I24" s="69">
        <v>34942</v>
      </c>
      <c r="J24" s="54"/>
      <c r="K24" s="55">
        <v>66700000</v>
      </c>
      <c r="L24" s="54"/>
      <c r="M24" s="55">
        <f>2700581</f>
        <v>2700581</v>
      </c>
      <c r="N24" s="54"/>
      <c r="O24" s="55">
        <v>4751984</v>
      </c>
      <c r="P24" s="54"/>
      <c r="Q24" s="73">
        <f>K24-M24-O24</f>
        <v>59247435</v>
      </c>
      <c r="R24" s="75"/>
      <c r="S24" s="76">
        <f t="shared" si="7"/>
        <v>0.05759245980580652</v>
      </c>
      <c r="T24" s="76"/>
      <c r="U24" s="100">
        <f t="shared" si="3"/>
        <v>66700000</v>
      </c>
      <c r="V24" s="76"/>
      <c r="W24" s="100">
        <f>S24*U24+100050</f>
        <v>3941467.0690472946</v>
      </c>
      <c r="X24" s="76"/>
      <c r="Y24" s="54">
        <f t="shared" si="4"/>
        <v>16</v>
      </c>
    </row>
    <row r="25" spans="1:25" ht="11.25">
      <c r="A25" s="54">
        <f t="shared" si="0"/>
        <v>17</v>
      </c>
      <c r="B25" s="77">
        <v>1</v>
      </c>
      <c r="C25" s="54" t="s">
        <v>29</v>
      </c>
      <c r="D25" s="54"/>
      <c r="E25" s="74">
        <v>0.05125</v>
      </c>
      <c r="F25" s="54"/>
      <c r="G25" s="69">
        <v>47542</v>
      </c>
      <c r="H25" s="70"/>
      <c r="I25" s="69">
        <v>34942</v>
      </c>
      <c r="J25" s="54"/>
      <c r="K25" s="55">
        <v>17000000</v>
      </c>
      <c r="L25" s="54"/>
      <c r="M25" s="55">
        <f>954386</f>
        <v>954386</v>
      </c>
      <c r="N25" s="54"/>
      <c r="O25" s="55">
        <v>1266265</v>
      </c>
      <c r="P25" s="54"/>
      <c r="Q25" s="73">
        <f>K25-M25-O25</f>
        <v>14779349</v>
      </c>
      <c r="R25" s="75"/>
      <c r="S25" s="76">
        <f t="shared" si="7"/>
        <v>0.06029011100995531</v>
      </c>
      <c r="T25" s="76"/>
      <c r="U25" s="100">
        <f t="shared" si="3"/>
        <v>17000000</v>
      </c>
      <c r="V25" s="76"/>
      <c r="W25" s="100">
        <f>S25*U25+25500</f>
        <v>1050431.8871692403</v>
      </c>
      <c r="X25" s="76"/>
      <c r="Y25" s="54">
        <f t="shared" si="4"/>
        <v>17</v>
      </c>
    </row>
    <row r="26" spans="1:25" ht="11.25">
      <c r="A26" s="54">
        <f t="shared" si="0"/>
        <v>18</v>
      </c>
      <c r="B26" s="54"/>
      <c r="C26" s="54" t="s">
        <v>30</v>
      </c>
      <c r="D26" s="54"/>
      <c r="E26" s="54" t="s">
        <v>19</v>
      </c>
      <c r="F26" s="68"/>
      <c r="G26" s="69">
        <v>39978</v>
      </c>
      <c r="H26" s="70"/>
      <c r="I26" s="69">
        <v>34499</v>
      </c>
      <c r="J26" s="54"/>
      <c r="K26" s="55"/>
      <c r="L26" s="54"/>
      <c r="M26" s="55">
        <v>610794.28</v>
      </c>
      <c r="N26" s="54"/>
      <c r="O26" s="55"/>
      <c r="P26" s="54"/>
      <c r="Q26" s="55"/>
      <c r="R26" s="54"/>
      <c r="S26" s="59"/>
      <c r="T26" s="59"/>
      <c r="U26" s="100"/>
      <c r="V26" s="59"/>
      <c r="W26" s="100">
        <v>40720</v>
      </c>
      <c r="X26" s="59"/>
      <c r="Y26" s="54">
        <f t="shared" si="4"/>
        <v>18</v>
      </c>
    </row>
    <row r="27" spans="1:25" ht="11.25">
      <c r="A27" s="54">
        <f t="shared" si="0"/>
        <v>19</v>
      </c>
      <c r="B27" s="54"/>
      <c r="C27" s="54" t="s">
        <v>30</v>
      </c>
      <c r="D27" s="54"/>
      <c r="E27" s="71">
        <v>0.0637</v>
      </c>
      <c r="F27" s="54"/>
      <c r="G27" s="69">
        <v>45461</v>
      </c>
      <c r="H27" s="70"/>
      <c r="I27" s="69">
        <v>34503</v>
      </c>
      <c r="J27" s="54"/>
      <c r="K27" s="55">
        <v>15000000</v>
      </c>
      <c r="L27" s="54"/>
      <c r="M27" s="55">
        <v>174178</v>
      </c>
      <c r="N27" s="54"/>
      <c r="O27" s="55"/>
      <c r="P27" s="54"/>
      <c r="Q27" s="55">
        <f aca="true" t="shared" si="8" ref="Q27:Q32">K27-M27-O27</f>
        <v>14825822</v>
      </c>
      <c r="R27" s="54"/>
      <c r="S27" s="72">
        <f aca="true" t="shared" si="9" ref="S27:S32">YIELD(I27,G27,E27,Q27/K27*100,100,2,0)</f>
        <v>0.06458074156952022</v>
      </c>
      <c r="T27" s="72"/>
      <c r="U27" s="100">
        <f t="shared" si="3"/>
        <v>15000000</v>
      </c>
      <c r="V27" s="72"/>
      <c r="W27" s="100">
        <f t="shared" si="5"/>
        <v>968711.1235428033</v>
      </c>
      <c r="X27" s="72"/>
      <c r="Y27" s="54">
        <f t="shared" si="4"/>
        <v>19</v>
      </c>
    </row>
    <row r="28" spans="1:25" ht="11.25">
      <c r="A28" s="54">
        <f t="shared" si="0"/>
        <v>20</v>
      </c>
      <c r="B28" s="54"/>
      <c r="C28" s="54" t="s">
        <v>30</v>
      </c>
      <c r="D28" s="54"/>
      <c r="E28" s="71">
        <v>0.0637</v>
      </c>
      <c r="F28" s="54"/>
      <c r="G28" s="69">
        <v>45461</v>
      </c>
      <c r="H28" s="70"/>
      <c r="I28" s="69">
        <v>34503</v>
      </c>
      <c r="J28" s="54"/>
      <c r="K28" s="55">
        <v>10000000</v>
      </c>
      <c r="L28" s="54"/>
      <c r="M28" s="55">
        <v>172775</v>
      </c>
      <c r="N28" s="54"/>
      <c r="O28" s="55"/>
      <c r="P28" s="54"/>
      <c r="Q28" s="55">
        <f t="shared" si="8"/>
        <v>9827225</v>
      </c>
      <c r="R28" s="54"/>
      <c r="S28" s="72">
        <f t="shared" si="9"/>
        <v>0.06501642214955942</v>
      </c>
      <c r="T28" s="72"/>
      <c r="U28" s="100">
        <f t="shared" si="3"/>
        <v>10000000</v>
      </c>
      <c r="V28" s="72"/>
      <c r="W28" s="100">
        <f t="shared" si="5"/>
        <v>650164.2214955942</v>
      </c>
      <c r="X28" s="72"/>
      <c r="Y28" s="54">
        <f t="shared" si="4"/>
        <v>20</v>
      </c>
    </row>
    <row r="29" spans="1:26" ht="11.25">
      <c r="A29" s="54">
        <f t="shared" si="0"/>
        <v>21</v>
      </c>
      <c r="B29" s="54"/>
      <c r="C29" s="54" t="s">
        <v>30</v>
      </c>
      <c r="D29" s="54"/>
      <c r="E29" s="71">
        <v>0.0802</v>
      </c>
      <c r="F29" s="78"/>
      <c r="G29" s="69">
        <v>39015</v>
      </c>
      <c r="H29" s="70"/>
      <c r="I29" s="69">
        <v>34997</v>
      </c>
      <c r="J29" s="54"/>
      <c r="K29" s="55">
        <v>25000000</v>
      </c>
      <c r="L29" s="54"/>
      <c r="M29" s="55">
        <v>161287</v>
      </c>
      <c r="N29" s="54"/>
      <c r="O29" s="55">
        <v>707527</v>
      </c>
      <c r="P29" s="54"/>
      <c r="Q29" s="73">
        <f t="shared" si="8"/>
        <v>24131186</v>
      </c>
      <c r="R29" s="75"/>
      <c r="S29" s="76">
        <f t="shared" si="9"/>
        <v>0.08512828028709359</v>
      </c>
      <c r="T29" s="76"/>
      <c r="U29" s="100">
        <f t="shared" si="3"/>
        <v>25000000</v>
      </c>
      <c r="V29" s="76"/>
      <c r="W29" s="100">
        <f t="shared" si="5"/>
        <v>2128207.00717734</v>
      </c>
      <c r="X29" s="76"/>
      <c r="Y29" s="54">
        <f t="shared" si="4"/>
        <v>21</v>
      </c>
      <c r="Z29" s="10"/>
    </row>
    <row r="30" spans="1:25" ht="11.25">
      <c r="A30" s="54">
        <f t="shared" si="0"/>
        <v>22</v>
      </c>
      <c r="B30" s="54"/>
      <c r="C30" s="54" t="s">
        <v>45</v>
      </c>
      <c r="D30" s="54"/>
      <c r="E30" s="71">
        <v>0.065</v>
      </c>
      <c r="F30" s="78"/>
      <c r="G30" s="69">
        <v>47573</v>
      </c>
      <c r="H30" s="70"/>
      <c r="I30" s="69">
        <v>36620</v>
      </c>
      <c r="J30" s="54"/>
      <c r="K30" s="55">
        <v>60000000</v>
      </c>
      <c r="L30" s="54"/>
      <c r="M30" s="55">
        <v>3389726</v>
      </c>
      <c r="N30" s="54"/>
      <c r="O30" s="55"/>
      <c r="P30" s="54"/>
      <c r="Q30" s="73">
        <f t="shared" si="8"/>
        <v>56610274</v>
      </c>
      <c r="R30" s="75"/>
      <c r="S30" s="76">
        <f t="shared" si="9"/>
        <v>0.06950671458315545</v>
      </c>
      <c r="T30" s="76"/>
      <c r="U30" s="100">
        <f t="shared" si="3"/>
        <v>60000000</v>
      </c>
      <c r="V30" s="76"/>
      <c r="W30" s="100">
        <f t="shared" si="5"/>
        <v>4170402.874989327</v>
      </c>
      <c r="X30" s="76"/>
      <c r="Y30" s="54">
        <f t="shared" si="4"/>
        <v>22</v>
      </c>
    </row>
    <row r="31" spans="1:25" ht="11.25">
      <c r="A31" s="54">
        <f t="shared" si="0"/>
        <v>23</v>
      </c>
      <c r="B31" s="79">
        <v>2</v>
      </c>
      <c r="C31" s="80" t="s">
        <v>72</v>
      </c>
      <c r="D31" s="80"/>
      <c r="E31" s="81">
        <v>0.0628</v>
      </c>
      <c r="F31" s="82"/>
      <c r="G31" s="83">
        <v>41759</v>
      </c>
      <c r="H31" s="84"/>
      <c r="I31" s="83">
        <v>38107</v>
      </c>
      <c r="J31" s="80"/>
      <c r="K31" s="85">
        <v>250000000</v>
      </c>
      <c r="L31" s="80"/>
      <c r="M31" s="85">
        <v>2500000</v>
      </c>
      <c r="N31" s="80"/>
      <c r="O31" s="85"/>
      <c r="P31" s="80"/>
      <c r="Q31" s="86">
        <f t="shared" si="8"/>
        <v>247500000</v>
      </c>
      <c r="R31" s="87"/>
      <c r="S31" s="88">
        <f t="shared" si="9"/>
        <v>0.06417036378859571</v>
      </c>
      <c r="T31" s="88"/>
      <c r="U31" s="102">
        <f t="shared" si="3"/>
        <v>250000000</v>
      </c>
      <c r="V31" s="88"/>
      <c r="W31" s="102">
        <f t="shared" si="5"/>
        <v>16042590.947148928</v>
      </c>
      <c r="X31" s="88"/>
      <c r="Y31" s="54">
        <f t="shared" si="4"/>
        <v>23</v>
      </c>
    </row>
    <row r="32" spans="1:25" ht="11.25">
      <c r="A32" s="54">
        <f t="shared" si="0"/>
        <v>24</v>
      </c>
      <c r="B32" s="79">
        <v>3</v>
      </c>
      <c r="C32" s="80" t="s">
        <v>72</v>
      </c>
      <c r="D32" s="80"/>
      <c r="E32" s="81">
        <v>0.0675</v>
      </c>
      <c r="F32" s="82"/>
      <c r="G32" s="83">
        <v>49187</v>
      </c>
      <c r="H32" s="84"/>
      <c r="I32" s="83">
        <v>38230</v>
      </c>
      <c r="J32" s="80"/>
      <c r="K32" s="85">
        <v>100000000</v>
      </c>
      <c r="L32" s="80"/>
      <c r="M32" s="85">
        <v>1000000</v>
      </c>
      <c r="N32" s="80"/>
      <c r="O32" s="85"/>
      <c r="P32" s="80"/>
      <c r="Q32" s="86">
        <f t="shared" si="8"/>
        <v>99000000</v>
      </c>
      <c r="R32" s="87"/>
      <c r="S32" s="88">
        <f t="shared" si="9"/>
        <v>0.06828799433251398</v>
      </c>
      <c r="T32" s="88"/>
      <c r="U32" s="105">
        <f t="shared" si="3"/>
        <v>100000000</v>
      </c>
      <c r="V32" s="88"/>
      <c r="W32" s="105">
        <f t="shared" si="5"/>
        <v>6828799.433251398</v>
      </c>
      <c r="X32" s="88"/>
      <c r="Y32" s="54">
        <f t="shared" si="4"/>
        <v>24</v>
      </c>
    </row>
    <row r="33" spans="1:25" ht="11.25">
      <c r="A33" s="54">
        <v>25</v>
      </c>
      <c r="B33" s="54"/>
      <c r="C33" s="54"/>
      <c r="D33" s="54"/>
      <c r="E33" s="74"/>
      <c r="F33" s="54"/>
      <c r="G33" s="69"/>
      <c r="H33" s="54"/>
      <c r="I33" s="69"/>
      <c r="J33" s="54"/>
      <c r="K33" s="55"/>
      <c r="L33" s="54"/>
      <c r="M33" s="55"/>
      <c r="N33" s="54"/>
      <c r="O33" s="55"/>
      <c r="P33" s="54"/>
      <c r="Q33" s="73"/>
      <c r="R33" s="54"/>
      <c r="S33" s="72">
        <f>+W33/U33</f>
        <v>0.06494840160804964</v>
      </c>
      <c r="T33" s="72"/>
      <c r="U33" s="100">
        <f>SUM(U9:U32)</f>
        <v>1035800000</v>
      </c>
      <c r="V33" s="72"/>
      <c r="W33" s="100">
        <f>SUM(W9:W32)</f>
        <v>67273554.38561782</v>
      </c>
      <c r="X33" s="72"/>
      <c r="Y33" s="54">
        <f t="shared" si="4"/>
        <v>25</v>
      </c>
    </row>
    <row r="34" spans="1:25" ht="8.25" customHeight="1">
      <c r="A34" s="54"/>
      <c r="B34" s="54"/>
      <c r="C34" s="54"/>
      <c r="D34" s="54"/>
      <c r="E34" s="74"/>
      <c r="F34" s="54"/>
      <c r="G34" s="69"/>
      <c r="H34" s="54"/>
      <c r="I34" s="69"/>
      <c r="J34" s="54"/>
      <c r="K34" s="55"/>
      <c r="L34" s="54"/>
      <c r="M34" s="55"/>
      <c r="N34" s="54"/>
      <c r="O34" s="55"/>
      <c r="P34" s="54"/>
      <c r="Q34" s="55"/>
      <c r="R34" s="54"/>
      <c r="S34" s="72"/>
      <c r="T34" s="72"/>
      <c r="U34" s="100"/>
      <c r="V34" s="100"/>
      <c r="W34" s="100"/>
      <c r="X34" s="72"/>
      <c r="Y34" s="54"/>
    </row>
    <row r="35" spans="1:50" ht="11.25">
      <c r="A35" s="54">
        <v>26</v>
      </c>
      <c r="B35" s="54"/>
      <c r="C35" s="54" t="s">
        <v>31</v>
      </c>
      <c r="D35" s="77">
        <v>4</v>
      </c>
      <c r="E35" s="74">
        <v>0.0885</v>
      </c>
      <c r="F35" s="54"/>
      <c r="G35" s="78">
        <v>45447</v>
      </c>
      <c r="H35" s="70"/>
      <c r="I35" s="69">
        <v>35938</v>
      </c>
      <c r="J35" s="54"/>
      <c r="K35" s="55">
        <v>10000000</v>
      </c>
      <c r="L35" s="54"/>
      <c r="M35" s="55"/>
      <c r="N35" s="54"/>
      <c r="O35" s="55">
        <v>-2228153</v>
      </c>
      <c r="P35" s="54"/>
      <c r="Q35" s="73">
        <f>K35-M35-O35</f>
        <v>12228153</v>
      </c>
      <c r="R35" s="75"/>
      <c r="S35" s="76">
        <f>YIELD(I35,G35,E35,Q35/K35*100,100,2,0)</f>
        <v>0.06980983104449971</v>
      </c>
      <c r="T35" s="76"/>
      <c r="U35" s="100"/>
      <c r="V35" s="77">
        <v>5</v>
      </c>
      <c r="W35" s="100">
        <v>-188085</v>
      </c>
      <c r="X35" s="76"/>
      <c r="Y35" s="54">
        <f t="shared" si="4"/>
        <v>26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25" ht="11.25">
      <c r="A36" s="54">
        <v>27</v>
      </c>
      <c r="B36" s="54"/>
      <c r="C36" s="54" t="s">
        <v>31</v>
      </c>
      <c r="D36" s="77">
        <v>4</v>
      </c>
      <c r="E36" s="74">
        <v>0.0883</v>
      </c>
      <c r="F36" s="54"/>
      <c r="G36" s="78">
        <v>45447</v>
      </c>
      <c r="H36" s="70"/>
      <c r="I36" s="69">
        <v>36252</v>
      </c>
      <c r="J36" s="54"/>
      <c r="K36" s="55">
        <v>10000000</v>
      </c>
      <c r="L36" s="54"/>
      <c r="M36" s="55"/>
      <c r="N36" s="54"/>
      <c r="O36" s="55">
        <v>-407637.07</v>
      </c>
      <c r="P36" s="54"/>
      <c r="Q36" s="73">
        <f>K36-M36-O36</f>
        <v>10407637.07</v>
      </c>
      <c r="R36" s="75"/>
      <c r="S36" s="76">
        <f>YIELD(I36,G36,E36,Q36/K36*100,100,2,0)</f>
        <v>0.08435062446094525</v>
      </c>
      <c r="T36" s="76"/>
      <c r="U36" s="100"/>
      <c r="V36" s="77">
        <v>5</v>
      </c>
      <c r="W36" s="100">
        <v>-39153</v>
      </c>
      <c r="X36" s="76"/>
      <c r="Y36" s="54">
        <f t="shared" si="4"/>
        <v>27</v>
      </c>
    </row>
    <row r="37" spans="1:25" ht="11.25">
      <c r="A37" s="54">
        <f t="shared" si="0"/>
        <v>28</v>
      </c>
      <c r="B37" s="54"/>
      <c r="C37" s="54" t="s">
        <v>31</v>
      </c>
      <c r="D37" s="77">
        <v>4</v>
      </c>
      <c r="E37" s="74">
        <v>0.0883</v>
      </c>
      <c r="F37" s="54"/>
      <c r="G37" s="78">
        <v>43462</v>
      </c>
      <c r="H37" s="70"/>
      <c r="I37" s="69">
        <v>36229</v>
      </c>
      <c r="J37" s="54"/>
      <c r="K37" s="55">
        <v>5000000</v>
      </c>
      <c r="L37" s="54"/>
      <c r="M37" s="55"/>
      <c r="N37" s="54"/>
      <c r="O37" s="55">
        <v>92363</v>
      </c>
      <c r="P37" s="54"/>
      <c r="Q37" s="73">
        <f>K37-M37-O37</f>
        <v>4907637</v>
      </c>
      <c r="R37" s="75"/>
      <c r="S37" s="76">
        <f>YIELD(I37,G37,E37,Q37/K37*100,100,2,0)</f>
        <v>0.09029381597952776</v>
      </c>
      <c r="T37" s="76"/>
      <c r="U37" s="100"/>
      <c r="V37" s="77">
        <v>5</v>
      </c>
      <c r="W37" s="100">
        <v>10570</v>
      </c>
      <c r="X37" s="76"/>
      <c r="Y37" s="54">
        <f t="shared" si="4"/>
        <v>28</v>
      </c>
    </row>
    <row r="38" spans="1:25" ht="11.25">
      <c r="A38" s="54">
        <f t="shared" si="0"/>
        <v>29</v>
      </c>
      <c r="B38" s="54"/>
      <c r="C38" s="54" t="s">
        <v>31</v>
      </c>
      <c r="D38" s="77">
        <v>4</v>
      </c>
      <c r="E38" s="74">
        <v>0.0837</v>
      </c>
      <c r="F38" s="54"/>
      <c r="G38" s="78">
        <v>39700</v>
      </c>
      <c r="H38" s="70"/>
      <c r="I38" s="69">
        <v>36347</v>
      </c>
      <c r="J38" s="54"/>
      <c r="K38" s="55">
        <v>12000000</v>
      </c>
      <c r="L38" s="54"/>
      <c r="M38" s="55"/>
      <c r="N38" s="54"/>
      <c r="O38" s="55">
        <v>357674</v>
      </c>
      <c r="P38" s="54"/>
      <c r="Q38" s="73">
        <f>K38-M38-O38</f>
        <v>11642326</v>
      </c>
      <c r="R38" s="75"/>
      <c r="S38" s="76">
        <f>YIELD(I38,G38,E38,Q38/K38*100,100,2,0)</f>
        <v>0.08847798848988489</v>
      </c>
      <c r="T38" s="76"/>
      <c r="U38" s="100"/>
      <c r="V38" s="77">
        <v>5</v>
      </c>
      <c r="W38" s="103">
        <v>64258</v>
      </c>
      <c r="X38" s="76"/>
      <c r="Y38" s="54">
        <f t="shared" si="4"/>
        <v>29</v>
      </c>
    </row>
    <row r="39" spans="1:25" ht="11.25">
      <c r="A39" s="54">
        <v>30</v>
      </c>
      <c r="B39" s="54"/>
      <c r="C39" s="54"/>
      <c r="D39" s="54"/>
      <c r="E39" s="74"/>
      <c r="F39" s="68"/>
      <c r="G39" s="56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9"/>
      <c r="T39" s="59"/>
      <c r="U39" s="100"/>
      <c r="V39" s="100"/>
      <c r="W39" s="100">
        <f>SUM(W35:W38)</f>
        <v>-152410</v>
      </c>
      <c r="X39" s="59"/>
      <c r="Y39" s="54">
        <f t="shared" si="4"/>
        <v>30</v>
      </c>
    </row>
    <row r="40" spans="1:25" ht="8.25" customHeight="1">
      <c r="A40" s="54"/>
      <c r="B40" s="54"/>
      <c r="C40" s="54"/>
      <c r="D40" s="54"/>
      <c r="E40" s="74"/>
      <c r="F40" s="68"/>
      <c r="G40" s="56"/>
      <c r="H40" s="54"/>
      <c r="I40" s="55"/>
      <c r="J40" s="54"/>
      <c r="K40" s="55"/>
      <c r="L40" s="54"/>
      <c r="M40" s="55"/>
      <c r="N40" s="54"/>
      <c r="O40" s="55"/>
      <c r="P40" s="54"/>
      <c r="Q40" s="73"/>
      <c r="R40" s="54"/>
      <c r="S40" s="72"/>
      <c r="T40" s="72"/>
      <c r="U40" s="100"/>
      <c r="V40" s="100"/>
      <c r="W40" s="100"/>
      <c r="X40" s="72"/>
      <c r="Y40" s="54"/>
    </row>
    <row r="41" spans="1:25" ht="11.25">
      <c r="A41" s="54">
        <v>31</v>
      </c>
      <c r="B41" s="54"/>
      <c r="C41" s="54"/>
      <c r="D41" s="77">
        <v>6</v>
      </c>
      <c r="E41" s="55" t="s">
        <v>93</v>
      </c>
      <c r="F41" s="54"/>
      <c r="G41" s="56"/>
      <c r="H41" s="54"/>
      <c r="I41" s="55"/>
      <c r="J41" s="54"/>
      <c r="K41" s="55">
        <f>+'Var. Rate Long-Term'!P8</f>
        <v>40000000</v>
      </c>
      <c r="L41" s="54"/>
      <c r="M41" s="55"/>
      <c r="N41" s="54"/>
      <c r="O41" s="55"/>
      <c r="P41" s="54"/>
      <c r="Q41" s="55">
        <f>+K41</f>
        <v>40000000</v>
      </c>
      <c r="R41" s="54"/>
      <c r="S41" s="72">
        <f>+'Var. Rate Long-Term'!J24</f>
        <v>0.04780044972795644</v>
      </c>
      <c r="T41" s="72"/>
      <c r="U41" s="100">
        <f>+Q41</f>
        <v>40000000</v>
      </c>
      <c r="V41" s="100"/>
      <c r="W41" s="100">
        <f>+U41*S41</f>
        <v>1912017.9891182575</v>
      </c>
      <c r="X41" s="72"/>
      <c r="Y41" s="54">
        <f t="shared" si="4"/>
        <v>31</v>
      </c>
    </row>
    <row r="42" spans="1:25" ht="8.25" customHeight="1">
      <c r="A42" s="54"/>
      <c r="B42" s="54"/>
      <c r="C42" s="54"/>
      <c r="D42" s="54"/>
      <c r="E42" s="74"/>
      <c r="F42" s="68"/>
      <c r="G42" s="56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9"/>
      <c r="T42" s="59"/>
      <c r="U42" s="100"/>
      <c r="V42" s="100"/>
      <c r="W42" s="100"/>
      <c r="X42" s="59"/>
      <c r="Y42" s="54"/>
    </row>
    <row r="43" spans="1:25" ht="12.75" customHeight="1">
      <c r="A43" s="54">
        <v>32</v>
      </c>
      <c r="B43" s="54"/>
      <c r="C43" s="54"/>
      <c r="D43" s="54"/>
      <c r="E43" s="55"/>
      <c r="F43" s="54"/>
      <c r="G43" s="56"/>
      <c r="H43" s="58"/>
      <c r="I43" s="55"/>
      <c r="J43" s="54" t="s">
        <v>20</v>
      </c>
      <c r="K43" s="55"/>
      <c r="L43" s="54"/>
      <c r="M43" s="55"/>
      <c r="N43" s="54"/>
      <c r="O43" s="55"/>
      <c r="P43" s="54"/>
      <c r="Q43" s="89">
        <f>SUM(Q9:Q32)+Q41</f>
        <v>1039521230.19</v>
      </c>
      <c r="R43" s="54"/>
      <c r="S43" s="72">
        <f>+W43/U43</f>
        <v>0.06416914145262696</v>
      </c>
      <c r="T43" s="72"/>
      <c r="U43" s="103">
        <f>+U41+U33</f>
        <v>1075800000</v>
      </c>
      <c r="V43" s="100"/>
      <c r="W43" s="103">
        <f>+W41+W39+W33</f>
        <v>69033162.37473609</v>
      </c>
      <c r="X43" s="72"/>
      <c r="Y43" s="54">
        <f t="shared" si="4"/>
        <v>32</v>
      </c>
    </row>
    <row r="44" spans="1:25" ht="8.25" customHeight="1">
      <c r="A44" s="54"/>
      <c r="B44" s="54"/>
      <c r="C44" s="54"/>
      <c r="D44" s="54"/>
      <c r="E44" s="55"/>
      <c r="F44" s="68"/>
      <c r="G44" s="56"/>
      <c r="H44" s="54"/>
      <c r="I44" s="55"/>
      <c r="J44" s="54"/>
      <c r="K44" s="55"/>
      <c r="L44" s="54"/>
      <c r="M44" s="55"/>
      <c r="N44" s="54"/>
      <c r="O44" s="55"/>
      <c r="P44" s="54"/>
      <c r="Q44" s="55"/>
      <c r="R44" s="54"/>
      <c r="S44" s="72"/>
      <c r="T44" s="72"/>
      <c r="U44" s="100"/>
      <c r="V44" s="100"/>
      <c r="W44" s="100"/>
      <c r="X44" s="72"/>
      <c r="Y44" s="54"/>
    </row>
    <row r="45" spans="1:25" ht="11.25">
      <c r="A45" s="54">
        <v>32</v>
      </c>
      <c r="B45" s="54"/>
      <c r="C45" s="54"/>
      <c r="D45" s="77">
        <v>7</v>
      </c>
      <c r="E45" s="55" t="s">
        <v>97</v>
      </c>
      <c r="F45" s="54"/>
      <c r="G45" s="56"/>
      <c r="H45" s="54"/>
      <c r="I45" s="55"/>
      <c r="J45" s="54"/>
      <c r="K45" s="55">
        <f>+'Short-Term'!P30</f>
        <v>73358000</v>
      </c>
      <c r="L45" s="54"/>
      <c r="M45" s="55"/>
      <c r="N45" s="54"/>
      <c r="O45" s="55"/>
      <c r="P45" s="54"/>
      <c r="Q45" s="73"/>
      <c r="R45" s="54"/>
      <c r="S45" s="72">
        <f>+'Short-Term'!P31</f>
        <v>0.06619303238575978</v>
      </c>
      <c r="T45" s="72"/>
      <c r="U45" s="100">
        <f>+K45</f>
        <v>73358000</v>
      </c>
      <c r="V45" s="100"/>
      <c r="W45" s="100">
        <f>+U45*S45</f>
        <v>4855788.469754566</v>
      </c>
      <c r="X45" s="72"/>
      <c r="Y45" s="54">
        <f t="shared" si="4"/>
        <v>32</v>
      </c>
    </row>
    <row r="46" spans="1:25" ht="8.25" customHeight="1">
      <c r="A46" s="54"/>
      <c r="B46" s="54"/>
      <c r="C46" s="54"/>
      <c r="D46" s="54"/>
      <c r="E46" s="55"/>
      <c r="F46" s="54"/>
      <c r="G46" s="56"/>
      <c r="H46" s="68"/>
      <c r="I46" s="55"/>
      <c r="J46" s="54"/>
      <c r="K46" s="55"/>
      <c r="L46" s="54"/>
      <c r="M46" s="55"/>
      <c r="N46" s="54"/>
      <c r="O46" s="55"/>
      <c r="P46" s="54"/>
      <c r="Q46" s="55"/>
      <c r="R46" s="54"/>
      <c r="S46" s="72"/>
      <c r="T46" s="72"/>
      <c r="U46" s="100"/>
      <c r="V46" s="100"/>
      <c r="W46" s="100"/>
      <c r="X46" s="72"/>
      <c r="Y46" s="54"/>
    </row>
    <row r="47" spans="1:25" ht="12" thickBot="1">
      <c r="A47" s="54">
        <v>33</v>
      </c>
      <c r="B47" s="54"/>
      <c r="C47" s="54"/>
      <c r="D47" s="54"/>
      <c r="E47" s="55" t="s">
        <v>71</v>
      </c>
      <c r="F47" s="54"/>
      <c r="G47" s="56"/>
      <c r="H47" s="54"/>
      <c r="I47" s="55"/>
      <c r="J47" s="54"/>
      <c r="K47" s="55"/>
      <c r="L47" s="54"/>
      <c r="M47" s="55"/>
      <c r="N47" s="54"/>
      <c r="O47" s="55"/>
      <c r="P47" s="54"/>
      <c r="Q47" s="90" t="s">
        <v>18</v>
      </c>
      <c r="R47" s="54"/>
      <c r="S47" s="72">
        <f>+W47/U47</f>
        <v>0.06429833917049757</v>
      </c>
      <c r="T47" s="91"/>
      <c r="U47" s="104">
        <f>+U45+U43</f>
        <v>1149158000</v>
      </c>
      <c r="V47" s="100"/>
      <c r="W47" s="104">
        <f>+W45+W43</f>
        <v>73888950.84449065</v>
      </c>
      <c r="X47" s="91"/>
      <c r="Y47" s="54">
        <f t="shared" si="4"/>
        <v>33</v>
      </c>
    </row>
    <row r="48" spans="1:25" ht="6" customHeight="1" thickTop="1">
      <c r="A48" s="54"/>
      <c r="B48" s="54"/>
      <c r="C48" s="54"/>
      <c r="D48" s="54"/>
      <c r="E48" s="55"/>
      <c r="F48" s="54"/>
      <c r="G48" s="56"/>
      <c r="H48" s="54"/>
      <c r="I48" s="55"/>
      <c r="J48" s="54"/>
      <c r="K48" s="55"/>
      <c r="L48" s="54"/>
      <c r="M48" s="55"/>
      <c r="N48" s="54"/>
      <c r="O48" s="55"/>
      <c r="P48" s="54"/>
      <c r="Q48" s="92"/>
      <c r="R48" s="54"/>
      <c r="S48" s="59"/>
      <c r="T48" s="59"/>
      <c r="U48" s="100"/>
      <c r="V48" s="100"/>
      <c r="W48" s="100"/>
      <c r="X48" s="59"/>
      <c r="Y48" s="54"/>
    </row>
    <row r="49" spans="1:25" ht="11.25">
      <c r="A49" s="54"/>
      <c r="B49" s="77">
        <v>1</v>
      </c>
      <c r="C49" s="54" t="s">
        <v>32</v>
      </c>
      <c r="D49" s="54"/>
      <c r="E49" s="55"/>
      <c r="F49" s="54"/>
      <c r="G49" s="56"/>
      <c r="H49" s="54"/>
      <c r="I49" s="55"/>
      <c r="J49" s="54"/>
      <c r="K49" s="55"/>
      <c r="L49" s="54"/>
      <c r="M49" s="55"/>
      <c r="N49" s="54"/>
      <c r="O49" s="55"/>
      <c r="P49" s="54"/>
      <c r="Q49" s="92"/>
      <c r="R49" s="54"/>
      <c r="S49" s="59"/>
      <c r="T49" s="59"/>
      <c r="U49" s="59"/>
      <c r="V49" s="59"/>
      <c r="W49" s="59"/>
      <c r="X49" s="59"/>
      <c r="Y49" s="54"/>
    </row>
    <row r="50" spans="1:25" ht="11.25">
      <c r="A50" s="54"/>
      <c r="B50" s="77">
        <v>2</v>
      </c>
      <c r="C50" s="54" t="s">
        <v>113</v>
      </c>
      <c r="D50" s="68"/>
      <c r="E50" s="55"/>
      <c r="F50" s="54"/>
      <c r="G50" s="56"/>
      <c r="H50" s="54"/>
      <c r="I50" s="54"/>
      <c r="J50" s="54"/>
      <c r="K50" s="55"/>
      <c r="L50" s="54"/>
      <c r="M50" s="55"/>
      <c r="N50" s="54"/>
      <c r="O50" s="55"/>
      <c r="P50" s="54"/>
      <c r="Q50" s="55"/>
      <c r="R50" s="54"/>
      <c r="S50" s="59"/>
      <c r="T50" s="59"/>
      <c r="U50" s="59"/>
      <c r="V50" s="59"/>
      <c r="W50" s="59"/>
      <c r="X50" s="59"/>
      <c r="Y50" s="54"/>
    </row>
    <row r="51" spans="1:25" ht="11.25">
      <c r="A51" s="54"/>
      <c r="B51" s="77"/>
      <c r="C51" s="54" t="s">
        <v>88</v>
      </c>
      <c r="D51" s="68"/>
      <c r="E51" s="55"/>
      <c r="F51" s="54"/>
      <c r="G51" s="56"/>
      <c r="H51" s="54"/>
      <c r="I51" s="54"/>
      <c r="J51" s="54"/>
      <c r="K51" s="55"/>
      <c r="L51" s="54"/>
      <c r="M51" s="55"/>
      <c r="N51" s="54"/>
      <c r="O51" s="55"/>
      <c r="P51" s="54"/>
      <c r="Q51" s="55"/>
      <c r="R51" s="54"/>
      <c r="S51" s="59"/>
      <c r="T51" s="59"/>
      <c r="U51" s="59"/>
      <c r="V51" s="59"/>
      <c r="W51" s="59"/>
      <c r="X51" s="59"/>
      <c r="Y51" s="54"/>
    </row>
    <row r="52" spans="1:25" ht="11.25">
      <c r="A52" s="54"/>
      <c r="B52" s="77">
        <v>3</v>
      </c>
      <c r="C52" s="54" t="s">
        <v>99</v>
      </c>
      <c r="D52" s="68"/>
      <c r="E52" s="55"/>
      <c r="F52" s="54"/>
      <c r="G52" s="56"/>
      <c r="H52" s="54"/>
      <c r="I52" s="55"/>
      <c r="J52" s="54"/>
      <c r="K52" s="54"/>
      <c r="L52" s="54"/>
      <c r="M52" s="54"/>
      <c r="N52" s="54"/>
      <c r="O52" s="54"/>
      <c r="P52" s="54"/>
      <c r="Q52" s="54"/>
      <c r="R52" s="54"/>
      <c r="S52" s="59"/>
      <c r="T52" s="59"/>
      <c r="U52" s="59"/>
      <c r="V52" s="59"/>
      <c r="W52" s="59"/>
      <c r="X52" s="59"/>
      <c r="Y52" s="54"/>
    </row>
    <row r="53" spans="1:25" ht="11.25">
      <c r="A53" s="54"/>
      <c r="B53" s="77">
        <v>4</v>
      </c>
      <c r="C53" s="54" t="s">
        <v>70</v>
      </c>
      <c r="D53" s="68"/>
      <c r="E53" s="54"/>
      <c r="F53" s="54"/>
      <c r="G53" s="54"/>
      <c r="H53" s="54"/>
      <c r="I53" s="55"/>
      <c r="J53" s="54"/>
      <c r="K53" s="55"/>
      <c r="L53" s="54"/>
      <c r="M53" s="55"/>
      <c r="N53" s="54"/>
      <c r="O53" s="55"/>
      <c r="P53" s="54"/>
      <c r="Q53" s="92"/>
      <c r="R53" s="54"/>
      <c r="S53" s="91"/>
      <c r="T53" s="91"/>
      <c r="U53" s="91"/>
      <c r="V53" s="91"/>
      <c r="W53" s="91"/>
      <c r="X53" s="91"/>
      <c r="Y53" s="54"/>
    </row>
    <row r="54" spans="1:25" ht="11.25">
      <c r="A54" s="54"/>
      <c r="B54" s="77">
        <v>5</v>
      </c>
      <c r="C54" s="54" t="s">
        <v>74</v>
      </c>
      <c r="D54" s="68"/>
      <c r="E54" s="55"/>
      <c r="F54" s="54"/>
      <c r="G54" s="56"/>
      <c r="H54" s="54"/>
      <c r="I54" s="54"/>
      <c r="J54" s="54"/>
      <c r="K54" s="55"/>
      <c r="L54" s="54"/>
      <c r="M54" s="55"/>
      <c r="N54" s="54"/>
      <c r="O54" s="55"/>
      <c r="P54" s="54"/>
      <c r="Q54" s="55"/>
      <c r="R54" s="54"/>
      <c r="S54" s="59"/>
      <c r="T54" s="59"/>
      <c r="U54" s="59"/>
      <c r="V54" s="59"/>
      <c r="W54" s="59"/>
      <c r="X54" s="59"/>
      <c r="Y54" s="54"/>
    </row>
    <row r="55" spans="1:25" ht="11.25">
      <c r="A55" s="54"/>
      <c r="B55" s="77">
        <v>6</v>
      </c>
      <c r="C55" s="54" t="s">
        <v>100</v>
      </c>
      <c r="D55" s="68"/>
      <c r="E55" s="55"/>
      <c r="F55" s="54"/>
      <c r="G55" s="56"/>
      <c r="H55" s="54"/>
      <c r="I55" s="55"/>
      <c r="J55" s="54"/>
      <c r="K55" s="55"/>
      <c r="L55" s="54"/>
      <c r="M55" s="55"/>
      <c r="N55" s="54"/>
      <c r="O55" s="55"/>
      <c r="P55" s="54"/>
      <c r="Q55" s="55"/>
      <c r="R55" s="54"/>
      <c r="S55" s="59"/>
      <c r="T55" s="59"/>
      <c r="U55" s="59"/>
      <c r="V55" s="59"/>
      <c r="W55" s="59"/>
      <c r="X55" s="59"/>
      <c r="Y55" s="54"/>
    </row>
    <row r="56" spans="1:25" ht="11.25">
      <c r="A56" s="54"/>
      <c r="B56" s="77">
        <v>7</v>
      </c>
      <c r="C56" s="54" t="s">
        <v>98</v>
      </c>
      <c r="D56" s="54"/>
      <c r="E56" s="55"/>
      <c r="F56" s="54"/>
      <c r="G56" s="56"/>
      <c r="H56" s="54"/>
      <c r="I56" s="55"/>
      <c r="J56" s="54"/>
      <c r="K56" s="55"/>
      <c r="L56" s="54"/>
      <c r="M56" s="55"/>
      <c r="N56" s="54"/>
      <c r="O56" s="55"/>
      <c r="P56" s="54"/>
      <c r="Q56" s="55"/>
      <c r="R56" s="54"/>
      <c r="S56" s="59"/>
      <c r="T56" s="59"/>
      <c r="U56" s="59"/>
      <c r="V56" s="59"/>
      <c r="W56" s="59"/>
      <c r="X56" s="59"/>
      <c r="Y56" s="54"/>
    </row>
  </sheetData>
  <sheetProtection/>
  <mergeCells count="3">
    <mergeCell ref="A1:Y1"/>
    <mergeCell ref="A2:Y2"/>
    <mergeCell ref="A3:Y3"/>
  </mergeCells>
  <conditionalFormatting sqref="G9:G32">
    <cfRule type="expression" priority="1" dxfId="0" stopIfTrue="1">
      <formula>(G9&lt;#REF!)</formula>
    </cfRule>
  </conditionalFormatting>
  <printOptions/>
  <pageMargins left="0.48" right="0.48" top="0.49" bottom="0.28" header="0.29" footer="0.28"/>
  <pageSetup fitToHeight="1" fitToWidth="1" horizontalDpi="600" verticalDpi="600" orientation="landscape" scale="89" r:id="rId1"/>
  <headerFooter alignWithMargins="0">
    <oddHeader>&amp;RExhibit  No. __(MKM-2)</oddHeader>
    <oddFooter>&amp;RPage &amp;[3 of &amp;[5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7109375" style="6" customWidth="1"/>
    <col min="2" max="2" width="24.28125" style="6" customWidth="1"/>
    <col min="3" max="3" width="10.140625" style="6" bestFit="1" customWidth="1"/>
    <col min="4" max="12" width="10.7109375" style="6" bestFit="1" customWidth="1"/>
    <col min="13" max="13" width="10.7109375" style="6" customWidth="1"/>
    <col min="14" max="14" width="10.7109375" style="6" bestFit="1" customWidth="1"/>
    <col min="15" max="15" width="10.7109375" style="6" customWidth="1"/>
    <col min="16" max="16" width="12.7109375" style="6" customWidth="1"/>
    <col min="17" max="16384" width="9.140625" style="6" customWidth="1"/>
  </cols>
  <sheetData>
    <row r="1" spans="1:16" s="1" customFormat="1" ht="11.2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s="1" customFormat="1" ht="11.25">
      <c r="A2" s="145" t="s">
        <v>77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1" customFormat="1" ht="12.75" customHeight="1">
      <c r="A3" s="146">
        <v>38351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2.75">
      <c r="A4" s="106"/>
      <c r="B4" s="107"/>
      <c r="C4" s="108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2.75">
      <c r="A5" s="109">
        <v>1</v>
      </c>
      <c r="B5" s="106"/>
      <c r="C5" s="110">
        <v>37985</v>
      </c>
      <c r="D5" s="110">
        <f aca="true" t="shared" si="0" ref="D5:O5">EOMONTH(C5,1)</f>
        <v>38044</v>
      </c>
      <c r="E5" s="110">
        <f t="shared" si="0"/>
        <v>38075</v>
      </c>
      <c r="F5" s="110">
        <f t="shared" si="0"/>
        <v>38105</v>
      </c>
      <c r="G5" s="110">
        <f t="shared" si="0"/>
        <v>38136</v>
      </c>
      <c r="H5" s="110">
        <f t="shared" si="0"/>
        <v>38166</v>
      </c>
      <c r="I5" s="110">
        <f t="shared" si="0"/>
        <v>38197</v>
      </c>
      <c r="J5" s="110">
        <f t="shared" si="0"/>
        <v>38228</v>
      </c>
      <c r="K5" s="110">
        <f t="shared" si="0"/>
        <v>38258</v>
      </c>
      <c r="L5" s="110">
        <f t="shared" si="0"/>
        <v>38289</v>
      </c>
      <c r="M5" s="110">
        <f t="shared" si="0"/>
        <v>38319</v>
      </c>
      <c r="N5" s="110">
        <f t="shared" si="0"/>
        <v>38350</v>
      </c>
      <c r="O5" s="110">
        <f t="shared" si="0"/>
        <v>38381</v>
      </c>
      <c r="P5" s="111" t="s">
        <v>52</v>
      </c>
    </row>
    <row r="6" spans="1:16" s="9" customFormat="1" ht="12.75">
      <c r="A6" s="109">
        <f>+A5+1</f>
        <v>2</v>
      </c>
      <c r="B6" s="60" t="s">
        <v>33</v>
      </c>
      <c r="C6" s="57" t="s">
        <v>34</v>
      </c>
      <c r="D6" s="67" t="s">
        <v>43</v>
      </c>
      <c r="E6" s="57" t="s">
        <v>35</v>
      </c>
      <c r="F6" s="57" t="s">
        <v>36</v>
      </c>
      <c r="G6" s="57" t="s">
        <v>37</v>
      </c>
      <c r="H6" s="57" t="s">
        <v>38</v>
      </c>
      <c r="I6" s="57" t="s">
        <v>39</v>
      </c>
      <c r="J6" s="62" t="s">
        <v>40</v>
      </c>
      <c r="K6" s="57" t="s">
        <v>41</v>
      </c>
      <c r="L6" s="57" t="s">
        <v>42</v>
      </c>
      <c r="M6" s="112" t="s">
        <v>81</v>
      </c>
      <c r="N6" s="112" t="s">
        <v>82</v>
      </c>
      <c r="O6" s="112" t="s">
        <v>83</v>
      </c>
      <c r="P6" s="112" t="s">
        <v>84</v>
      </c>
    </row>
    <row r="7" spans="1:16" ht="12.75">
      <c r="A7" s="109">
        <f aca="true" t="shared" si="1" ref="A7:A26">+A6+1</f>
        <v>3</v>
      </c>
      <c r="B7" s="113" t="s">
        <v>78</v>
      </c>
      <c r="C7" s="114">
        <v>40000000</v>
      </c>
      <c r="D7" s="114">
        <v>40000000</v>
      </c>
      <c r="E7" s="114">
        <v>40000000</v>
      </c>
      <c r="F7" s="114">
        <v>40000000</v>
      </c>
      <c r="G7" s="114">
        <v>40000000</v>
      </c>
      <c r="H7" s="114">
        <v>40000000</v>
      </c>
      <c r="I7" s="114">
        <v>40000000</v>
      </c>
      <c r="J7" s="114">
        <v>40000000</v>
      </c>
      <c r="K7" s="114">
        <v>40000000</v>
      </c>
      <c r="L7" s="114">
        <v>40000000</v>
      </c>
      <c r="M7" s="114">
        <v>40000000</v>
      </c>
      <c r="N7" s="114">
        <v>40000000</v>
      </c>
      <c r="O7" s="114">
        <v>40000000</v>
      </c>
      <c r="P7" s="115">
        <f>ROUND(((C7+O7)+(SUM(D7:N7)*2))/24,3)</f>
        <v>40000000</v>
      </c>
    </row>
    <row r="8" spans="1:16" ht="13.5" thickBot="1">
      <c r="A8" s="109">
        <f t="shared" si="1"/>
        <v>4</v>
      </c>
      <c r="B8" s="116" t="s">
        <v>54</v>
      </c>
      <c r="C8" s="117">
        <f aca="true" t="shared" si="2" ref="C8:O8">SUM(C7:C7)</f>
        <v>40000000</v>
      </c>
      <c r="D8" s="117">
        <f t="shared" si="2"/>
        <v>40000000</v>
      </c>
      <c r="E8" s="117">
        <f t="shared" si="2"/>
        <v>40000000</v>
      </c>
      <c r="F8" s="117">
        <f t="shared" si="2"/>
        <v>40000000</v>
      </c>
      <c r="G8" s="117">
        <f t="shared" si="2"/>
        <v>40000000</v>
      </c>
      <c r="H8" s="117">
        <f t="shared" si="2"/>
        <v>40000000</v>
      </c>
      <c r="I8" s="117">
        <f t="shared" si="2"/>
        <v>40000000</v>
      </c>
      <c r="J8" s="117">
        <f t="shared" si="2"/>
        <v>40000000</v>
      </c>
      <c r="K8" s="117">
        <f t="shared" si="2"/>
        <v>40000000</v>
      </c>
      <c r="L8" s="117">
        <f t="shared" si="2"/>
        <v>40000000</v>
      </c>
      <c r="M8" s="117">
        <f t="shared" si="2"/>
        <v>40000000</v>
      </c>
      <c r="N8" s="117">
        <f t="shared" si="2"/>
        <v>40000000</v>
      </c>
      <c r="O8" s="117">
        <f t="shared" si="2"/>
        <v>40000000</v>
      </c>
      <c r="P8" s="118">
        <f>ROUND(((C8+O8)+(SUM(D8:N8)*2))/24,3)</f>
        <v>40000000</v>
      </c>
    </row>
    <row r="9" spans="1:16" ht="14.25" thickTop="1">
      <c r="A9" s="109">
        <f t="shared" si="1"/>
        <v>5</v>
      </c>
      <c r="B9" s="116"/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/>
    </row>
    <row r="10" spans="1:16" ht="12.75">
      <c r="A10" s="109">
        <f t="shared" si="1"/>
        <v>6</v>
      </c>
      <c r="B10" s="116" t="s">
        <v>55</v>
      </c>
      <c r="C10" s="116"/>
      <c r="D10" s="116">
        <f aca="true" t="shared" si="3" ref="D10:O10">+D5-C5</f>
        <v>59</v>
      </c>
      <c r="E10" s="116">
        <f t="shared" si="3"/>
        <v>31</v>
      </c>
      <c r="F10" s="116">
        <f t="shared" si="3"/>
        <v>30</v>
      </c>
      <c r="G10" s="116">
        <f t="shared" si="3"/>
        <v>31</v>
      </c>
      <c r="H10" s="116">
        <f t="shared" si="3"/>
        <v>30</v>
      </c>
      <c r="I10" s="116">
        <f t="shared" si="3"/>
        <v>31</v>
      </c>
      <c r="J10" s="116">
        <f t="shared" si="3"/>
        <v>31</v>
      </c>
      <c r="K10" s="116">
        <f t="shared" si="3"/>
        <v>30</v>
      </c>
      <c r="L10" s="116">
        <f t="shared" si="3"/>
        <v>31</v>
      </c>
      <c r="M10" s="116">
        <f t="shared" si="3"/>
        <v>30</v>
      </c>
      <c r="N10" s="116">
        <f t="shared" si="3"/>
        <v>31</v>
      </c>
      <c r="O10" s="116">
        <f t="shared" si="3"/>
        <v>31</v>
      </c>
      <c r="P10" s="116">
        <f>SUM(C10:O10)</f>
        <v>396</v>
      </c>
    </row>
    <row r="11" spans="1:16" ht="12.75">
      <c r="A11" s="109">
        <f t="shared" si="1"/>
        <v>7</v>
      </c>
      <c r="B11" s="122" t="s">
        <v>86</v>
      </c>
      <c r="C11" s="123"/>
      <c r="D11" s="123">
        <v>0.0513</v>
      </c>
      <c r="E11" s="123">
        <v>0.0513</v>
      </c>
      <c r="F11" s="123">
        <v>0.0513</v>
      </c>
      <c r="G11" s="123">
        <v>0.0463</v>
      </c>
      <c r="H11" s="123">
        <v>0.0463</v>
      </c>
      <c r="I11" s="123">
        <v>0.0463</v>
      </c>
      <c r="J11" s="123">
        <v>0.0413</v>
      </c>
      <c r="K11" s="123">
        <v>0.0413</v>
      </c>
      <c r="L11" s="123">
        <v>0.0413</v>
      </c>
      <c r="M11" s="123">
        <v>0.0388</v>
      </c>
      <c r="N11" s="123">
        <v>0.0388</v>
      </c>
      <c r="O11" s="123">
        <v>0.0388</v>
      </c>
      <c r="P11" s="123"/>
    </row>
    <row r="12" spans="1:16" ht="12.75">
      <c r="A12" s="109">
        <f t="shared" si="1"/>
        <v>8</v>
      </c>
      <c r="B12" s="114" t="s">
        <v>79</v>
      </c>
      <c r="C12" s="116"/>
      <c r="D12" s="124">
        <f aca="true" t="shared" si="4" ref="D12:O12">AVERAGE(C7:D7)*(D11*D10/360)</f>
        <v>336300</v>
      </c>
      <c r="E12" s="124">
        <f t="shared" si="4"/>
        <v>176700.00000000003</v>
      </c>
      <c r="F12" s="124">
        <f t="shared" si="4"/>
        <v>171000</v>
      </c>
      <c r="G12" s="124">
        <f t="shared" si="4"/>
        <v>159477.77777777778</v>
      </c>
      <c r="H12" s="124">
        <f t="shared" si="4"/>
        <v>154333.33333333334</v>
      </c>
      <c r="I12" s="124">
        <f t="shared" si="4"/>
        <v>159477.77777777778</v>
      </c>
      <c r="J12" s="124">
        <f t="shared" si="4"/>
        <v>142255.55555555556</v>
      </c>
      <c r="K12" s="124">
        <f t="shared" si="4"/>
        <v>137666.6666666667</v>
      </c>
      <c r="L12" s="124">
        <f t="shared" si="4"/>
        <v>142255.55555555556</v>
      </c>
      <c r="M12" s="124">
        <f t="shared" si="4"/>
        <v>129333.33333333334</v>
      </c>
      <c r="N12" s="124">
        <f t="shared" si="4"/>
        <v>133644.44444444447</v>
      </c>
      <c r="O12" s="124">
        <f t="shared" si="4"/>
        <v>133644.44444444447</v>
      </c>
      <c r="P12" s="125">
        <f>SUM(C12:O12)</f>
        <v>1976088.888888889</v>
      </c>
    </row>
    <row r="13" spans="1:16" ht="13.5" thickBot="1">
      <c r="A13" s="109">
        <f t="shared" si="1"/>
        <v>9</v>
      </c>
      <c r="B13" s="116" t="s">
        <v>87</v>
      </c>
      <c r="C13" s="116"/>
      <c r="D13" s="126">
        <f aca="true" t="shared" si="5" ref="D13:P13">SUM(D12:D12)</f>
        <v>336300</v>
      </c>
      <c r="E13" s="126">
        <f t="shared" si="5"/>
        <v>176700.00000000003</v>
      </c>
      <c r="F13" s="126">
        <f t="shared" si="5"/>
        <v>171000</v>
      </c>
      <c r="G13" s="126">
        <f t="shared" si="5"/>
        <v>159477.77777777778</v>
      </c>
      <c r="H13" s="126">
        <f t="shared" si="5"/>
        <v>154333.33333333334</v>
      </c>
      <c r="I13" s="126">
        <f t="shared" si="5"/>
        <v>159477.77777777778</v>
      </c>
      <c r="J13" s="126">
        <f t="shared" si="5"/>
        <v>142255.55555555556</v>
      </c>
      <c r="K13" s="126">
        <f t="shared" si="5"/>
        <v>137666.6666666667</v>
      </c>
      <c r="L13" s="126">
        <f t="shared" si="5"/>
        <v>142255.55555555556</v>
      </c>
      <c r="M13" s="126">
        <f t="shared" si="5"/>
        <v>129333.33333333334</v>
      </c>
      <c r="N13" s="126">
        <f t="shared" si="5"/>
        <v>133644.44444444447</v>
      </c>
      <c r="O13" s="126">
        <f t="shared" si="5"/>
        <v>133644.44444444447</v>
      </c>
      <c r="P13" s="126">
        <f t="shared" si="5"/>
        <v>1976088.888888889</v>
      </c>
    </row>
    <row r="14" spans="1:16" ht="13.5" thickTop="1">
      <c r="A14" s="109">
        <f t="shared" si="1"/>
        <v>10</v>
      </c>
      <c r="B14" s="106" t="s">
        <v>80</v>
      </c>
      <c r="C14" s="106"/>
      <c r="D14" s="127">
        <f>(+D13)/((D8+C8)/2)*(360/D10)</f>
        <v>0.0513</v>
      </c>
      <c r="E14" s="127">
        <f aca="true" t="shared" si="6" ref="E14:O14">(+E13)/((E8+D8)/2)*(360/E10)</f>
        <v>0.051300000000000005</v>
      </c>
      <c r="F14" s="127">
        <f t="shared" si="6"/>
        <v>0.0513</v>
      </c>
      <c r="G14" s="127">
        <f t="shared" si="6"/>
        <v>0.04630000000000001</v>
      </c>
      <c r="H14" s="127">
        <f t="shared" si="6"/>
        <v>0.0463</v>
      </c>
      <c r="I14" s="127">
        <f t="shared" si="6"/>
        <v>0.04630000000000001</v>
      </c>
      <c r="J14" s="127">
        <f t="shared" si="6"/>
        <v>0.0413</v>
      </c>
      <c r="K14" s="127">
        <f t="shared" si="6"/>
        <v>0.0413</v>
      </c>
      <c r="L14" s="127">
        <f t="shared" si="6"/>
        <v>0.0413</v>
      </c>
      <c r="M14" s="127">
        <f t="shared" si="6"/>
        <v>0.0388</v>
      </c>
      <c r="N14" s="127">
        <f t="shared" si="6"/>
        <v>0.03880000000000001</v>
      </c>
      <c r="O14" s="127">
        <f t="shared" si="6"/>
        <v>0.03880000000000001</v>
      </c>
      <c r="P14" s="106"/>
    </row>
    <row r="15" spans="1:16" ht="12.75">
      <c r="A15" s="109">
        <f t="shared" si="1"/>
        <v>11</v>
      </c>
      <c r="B15" s="106"/>
      <c r="C15" s="106"/>
      <c r="D15" s="127"/>
      <c r="E15" s="127"/>
      <c r="F15" s="127"/>
      <c r="G15" s="127"/>
      <c r="H15" s="127"/>
      <c r="I15" s="127"/>
      <c r="J15" s="127"/>
      <c r="K15" s="106" t="s">
        <v>85</v>
      </c>
      <c r="L15" s="128"/>
      <c r="M15" s="128"/>
      <c r="N15" s="106"/>
      <c r="O15" s="106"/>
      <c r="P15" s="127">
        <f>(+P13)/P8</f>
        <v>0.04940222222222222</v>
      </c>
    </row>
    <row r="16" spans="1:16" ht="12.75">
      <c r="A16" s="109">
        <f t="shared" si="1"/>
        <v>12</v>
      </c>
      <c r="B16" s="106"/>
      <c r="C16" s="10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06"/>
      <c r="O16" s="106"/>
      <c r="P16" s="127"/>
    </row>
    <row r="17" spans="1:16" ht="12.75">
      <c r="A17" s="109">
        <f t="shared" si="1"/>
        <v>13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09">
        <f t="shared" si="1"/>
        <v>14</v>
      </c>
      <c r="B18" s="116"/>
      <c r="C18" s="116"/>
      <c r="D18" s="119"/>
      <c r="E18" s="116"/>
      <c r="F18" s="116"/>
      <c r="G18" s="11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1:16" ht="12.75">
      <c r="A19" s="109">
        <f t="shared" si="1"/>
        <v>15</v>
      </c>
      <c r="B19" s="129"/>
      <c r="C19" s="123"/>
      <c r="D19" s="123"/>
      <c r="E19" s="123"/>
      <c r="F19" s="123"/>
      <c r="G19" s="123"/>
      <c r="H19" s="106"/>
      <c r="I19" s="106"/>
      <c r="J19" s="106"/>
      <c r="K19" s="106"/>
      <c r="L19" s="106"/>
      <c r="M19" s="106"/>
      <c r="N19" s="106"/>
      <c r="O19" s="106"/>
      <c r="P19" s="130"/>
    </row>
    <row r="20" spans="1:16" ht="12.75">
      <c r="A20" s="109">
        <f t="shared" si="1"/>
        <v>16</v>
      </c>
      <c r="B20" s="60"/>
      <c r="C20" s="57"/>
      <c r="D20" s="61"/>
      <c r="E20" s="57"/>
      <c r="F20" s="57"/>
      <c r="G20" s="57"/>
      <c r="H20" s="57"/>
      <c r="I20" s="57"/>
      <c r="J20" s="62"/>
      <c r="K20" s="57" t="s">
        <v>0</v>
      </c>
      <c r="L20" s="57"/>
      <c r="M20" s="60"/>
      <c r="N20" s="128"/>
      <c r="O20" s="128"/>
      <c r="P20" s="128"/>
    </row>
    <row r="21" spans="1:16" ht="12.75">
      <c r="A21" s="109">
        <f t="shared" si="1"/>
        <v>17</v>
      </c>
      <c r="B21" s="60"/>
      <c r="C21" s="57" t="s">
        <v>2</v>
      </c>
      <c r="D21" s="61" t="s">
        <v>3</v>
      </c>
      <c r="E21" s="57" t="s">
        <v>4</v>
      </c>
      <c r="F21" s="57" t="s">
        <v>0</v>
      </c>
      <c r="G21" s="57" t="s">
        <v>5</v>
      </c>
      <c r="H21" s="60" t="s">
        <v>6</v>
      </c>
      <c r="I21" s="57" t="s">
        <v>7</v>
      </c>
      <c r="J21" s="62" t="s">
        <v>8</v>
      </c>
      <c r="K21" s="57" t="s">
        <v>9</v>
      </c>
      <c r="L21" s="57" t="s">
        <v>10</v>
      </c>
      <c r="M21" s="131"/>
      <c r="N21" s="128"/>
      <c r="O21" s="128"/>
      <c r="P21" s="128"/>
    </row>
    <row r="22" spans="1:16" ht="12.75">
      <c r="A22" s="109">
        <f t="shared" si="1"/>
        <v>18</v>
      </c>
      <c r="B22" s="63" t="s">
        <v>73</v>
      </c>
      <c r="C22" s="64" t="s">
        <v>12</v>
      </c>
      <c r="D22" s="65" t="s">
        <v>13</v>
      </c>
      <c r="E22" s="64" t="s">
        <v>13</v>
      </c>
      <c r="F22" s="64" t="s">
        <v>14</v>
      </c>
      <c r="G22" s="64" t="s">
        <v>15</v>
      </c>
      <c r="H22" s="63" t="s">
        <v>16</v>
      </c>
      <c r="I22" s="64" t="s">
        <v>17</v>
      </c>
      <c r="J22" s="66" t="s">
        <v>3</v>
      </c>
      <c r="K22" s="132">
        <v>38351</v>
      </c>
      <c r="L22" s="64" t="s">
        <v>18</v>
      </c>
      <c r="M22" s="131"/>
      <c r="N22" s="128"/>
      <c r="O22" s="128"/>
      <c r="P22" s="128"/>
    </row>
    <row r="23" spans="1:16" ht="13.5" customHeight="1">
      <c r="A23" s="109">
        <f t="shared" si="1"/>
        <v>19</v>
      </c>
      <c r="B23" s="60" t="s">
        <v>33</v>
      </c>
      <c r="C23" s="57" t="s">
        <v>34</v>
      </c>
      <c r="D23" s="67" t="s">
        <v>43</v>
      </c>
      <c r="E23" s="57" t="s">
        <v>35</v>
      </c>
      <c r="F23" s="57" t="s">
        <v>36</v>
      </c>
      <c r="G23" s="57" t="s">
        <v>37</v>
      </c>
      <c r="H23" s="57" t="s">
        <v>38</v>
      </c>
      <c r="I23" s="57" t="s">
        <v>39</v>
      </c>
      <c r="J23" s="62" t="s">
        <v>40</v>
      </c>
      <c r="K23" s="57" t="s">
        <v>41</v>
      </c>
      <c r="L23" s="57" t="s">
        <v>42</v>
      </c>
      <c r="M23" s="75"/>
      <c r="N23" s="128"/>
      <c r="O23" s="128"/>
      <c r="P23" s="128"/>
    </row>
    <row r="24" spans="1:16" ht="12.75">
      <c r="A24" s="109">
        <f t="shared" si="1"/>
        <v>20</v>
      </c>
      <c r="B24" s="113" t="s">
        <v>78</v>
      </c>
      <c r="C24" s="71">
        <f>+P15</f>
        <v>0.04940222222222222</v>
      </c>
      <c r="D24" s="69">
        <v>48730</v>
      </c>
      <c r="E24" s="69">
        <v>34122</v>
      </c>
      <c r="F24" s="55">
        <v>40000000</v>
      </c>
      <c r="G24" s="55">
        <v>1362388</v>
      </c>
      <c r="H24" s="55">
        <v>-2500000</v>
      </c>
      <c r="I24" s="55">
        <f>F24-G24-H24</f>
        <v>41137612</v>
      </c>
      <c r="J24" s="72">
        <f>YIELD(E24,D24,C24,I24/F24*100,100,2,0)</f>
        <v>0.04780044972795644</v>
      </c>
      <c r="K24" s="73">
        <f>F24</f>
        <v>40000000</v>
      </c>
      <c r="L24" s="73">
        <f>J24*K24</f>
        <v>1912017.9891182575</v>
      </c>
      <c r="M24" s="75"/>
      <c r="N24" s="128"/>
      <c r="O24" s="128"/>
      <c r="P24" s="128"/>
    </row>
    <row r="25" spans="1:16" ht="12.75">
      <c r="A25" s="109">
        <f t="shared" si="1"/>
        <v>21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ht="12.75">
      <c r="A26" s="109">
        <f t="shared" si="1"/>
        <v>22</v>
      </c>
      <c r="B26" s="123"/>
      <c r="C26" s="123"/>
      <c r="D26" s="123"/>
      <c r="E26" s="123"/>
      <c r="F26" s="123"/>
      <c r="G26" s="106"/>
      <c r="H26" s="106"/>
      <c r="I26" s="106"/>
      <c r="J26" s="106"/>
      <c r="K26" s="106"/>
      <c r="L26" s="106"/>
      <c r="M26" s="106"/>
      <c r="N26" s="106"/>
      <c r="O26" s="128"/>
      <c r="P26" s="128"/>
    </row>
    <row r="27" spans="1:16" ht="12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06"/>
      <c r="P27" s="128"/>
    </row>
    <row r="28" spans="1:16" ht="12.7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 ht="12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</row>
    <row r="30" spans="1:16" ht="12.75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</row>
  </sheetData>
  <sheetProtection/>
  <mergeCells count="3">
    <mergeCell ref="A1:P1"/>
    <mergeCell ref="A3:P3"/>
    <mergeCell ref="A2:P2"/>
  </mergeCells>
  <conditionalFormatting sqref="G15:G16 G18:G19 D24 G13 G8:G11">
    <cfRule type="expression" priority="1" dxfId="0" stopIfTrue="1">
      <formula>(D8&lt;#REF!)</formula>
    </cfRule>
  </conditionalFormatting>
  <printOptions/>
  <pageMargins left="0.54" right="0.45" top="1" bottom="1" header="0.5" footer="0.5"/>
  <pageSetup fitToHeight="1" fitToWidth="1" horizontalDpi="600" verticalDpi="600" orientation="landscape" scale="72" r:id="rId1"/>
  <headerFooter alignWithMargins="0">
    <oddHeader>&amp;RExhibit  No. __(MKM-2)</oddHeader>
    <oddFooter>&amp;RPage &amp;[4 of &amp;[5</oddFooter>
  </headerFooter>
  <ignoredErrors>
    <ignoredError sqref="D12:O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7109375" style="128" customWidth="1"/>
    <col min="2" max="2" width="24.28125" style="128" customWidth="1"/>
    <col min="3" max="15" width="10.7109375" style="128" customWidth="1"/>
    <col min="16" max="16" width="12.57421875" style="128" customWidth="1"/>
    <col min="17" max="16384" width="9.140625" style="128" customWidth="1"/>
  </cols>
  <sheetData>
    <row r="1" spans="1:16" s="54" customFormat="1" ht="11.2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s="54" customFormat="1" ht="11.25">
      <c r="A2" s="145" t="s">
        <v>68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s="54" customFormat="1" ht="12.75" customHeight="1">
      <c r="A3" s="146">
        <v>38351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2.75">
      <c r="A4" s="106"/>
      <c r="B4" s="107"/>
      <c r="C4" s="108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12.75">
      <c r="A5" s="109">
        <v>1</v>
      </c>
      <c r="B5" s="106"/>
      <c r="C5" s="110">
        <v>37985</v>
      </c>
      <c r="D5" s="110">
        <f aca="true" t="shared" si="0" ref="D5:O5">EOMONTH(C5,1)</f>
        <v>38044</v>
      </c>
      <c r="E5" s="110">
        <f t="shared" si="0"/>
        <v>38075</v>
      </c>
      <c r="F5" s="110">
        <f t="shared" si="0"/>
        <v>38105</v>
      </c>
      <c r="G5" s="110">
        <f t="shared" si="0"/>
        <v>38136</v>
      </c>
      <c r="H5" s="110">
        <f t="shared" si="0"/>
        <v>38166</v>
      </c>
      <c r="I5" s="110">
        <f t="shared" si="0"/>
        <v>38197</v>
      </c>
      <c r="J5" s="110">
        <f t="shared" si="0"/>
        <v>38228</v>
      </c>
      <c r="K5" s="110">
        <f t="shared" si="0"/>
        <v>38258</v>
      </c>
      <c r="L5" s="110">
        <f t="shared" si="0"/>
        <v>38289</v>
      </c>
      <c r="M5" s="110">
        <f t="shared" si="0"/>
        <v>38319</v>
      </c>
      <c r="N5" s="110">
        <f t="shared" si="0"/>
        <v>38350</v>
      </c>
      <c r="O5" s="110">
        <f t="shared" si="0"/>
        <v>38381</v>
      </c>
      <c r="P5" s="111" t="s">
        <v>52</v>
      </c>
    </row>
    <row r="6" spans="1:16" ht="12.75">
      <c r="A6" s="109">
        <f>+A5+1</f>
        <v>2</v>
      </c>
      <c r="B6" s="60" t="s">
        <v>33</v>
      </c>
      <c r="C6" s="57" t="s">
        <v>34</v>
      </c>
      <c r="D6" s="67" t="s">
        <v>43</v>
      </c>
      <c r="E6" s="57" t="s">
        <v>35</v>
      </c>
      <c r="F6" s="57" t="s">
        <v>36</v>
      </c>
      <c r="G6" s="57" t="s">
        <v>37</v>
      </c>
      <c r="H6" s="57" t="s">
        <v>38</v>
      </c>
      <c r="I6" s="57" t="s">
        <v>39</v>
      </c>
      <c r="J6" s="62" t="s">
        <v>40</v>
      </c>
      <c r="K6" s="57" t="s">
        <v>41</v>
      </c>
      <c r="L6" s="57" t="s">
        <v>42</v>
      </c>
      <c r="M6" s="112" t="s">
        <v>81</v>
      </c>
      <c r="N6" s="112" t="s">
        <v>82</v>
      </c>
      <c r="O6" s="112" t="s">
        <v>83</v>
      </c>
      <c r="P6" s="112" t="s">
        <v>84</v>
      </c>
    </row>
    <row r="7" spans="1:16" ht="12.75">
      <c r="A7" s="109">
        <f aca="true" t="shared" si="1" ref="A7:A26">+A6+1</f>
        <v>3</v>
      </c>
      <c r="B7" s="113" t="s">
        <v>60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59672000</v>
      </c>
      <c r="J7" s="114">
        <v>64120000</v>
      </c>
      <c r="K7" s="114">
        <v>72126000</v>
      </c>
      <c r="L7" s="114">
        <v>11974000</v>
      </c>
      <c r="M7" s="114">
        <v>23887000</v>
      </c>
      <c r="N7" s="114">
        <v>17649000</v>
      </c>
      <c r="O7" s="114">
        <v>43490000</v>
      </c>
      <c r="P7" s="114">
        <f>ROUND(((C7+O7)+(SUM(D7:N7)*2))/24,3)</f>
        <v>22597750</v>
      </c>
    </row>
    <row r="8" spans="1:16" ht="12.75">
      <c r="A8" s="109">
        <f t="shared" si="1"/>
        <v>4</v>
      </c>
      <c r="B8" s="116" t="s">
        <v>53</v>
      </c>
      <c r="C8" s="114">
        <v>85000000</v>
      </c>
      <c r="D8" s="114">
        <v>77609000</v>
      </c>
      <c r="E8" s="114">
        <v>53720000</v>
      </c>
      <c r="F8" s="114">
        <v>35326000</v>
      </c>
      <c r="G8" s="114">
        <v>38468000</v>
      </c>
      <c r="H8" s="114">
        <v>0</v>
      </c>
      <c r="I8" s="114">
        <v>54000000</v>
      </c>
      <c r="J8" s="114">
        <v>49000000</v>
      </c>
      <c r="K8" s="114">
        <v>49000000</v>
      </c>
      <c r="L8" s="114">
        <v>46000000</v>
      </c>
      <c r="M8" s="114">
        <v>49000000</v>
      </c>
      <c r="N8" s="114">
        <v>72000000</v>
      </c>
      <c r="O8" s="114">
        <v>85000000</v>
      </c>
      <c r="P8" s="114">
        <f>ROUND(((C8+O8)+(SUM(D8:N8)*2))/24,3)</f>
        <v>50760250</v>
      </c>
    </row>
    <row r="9" spans="1:16" ht="13.5" thickBot="1">
      <c r="A9" s="109">
        <f t="shared" si="1"/>
        <v>5</v>
      </c>
      <c r="B9" s="116" t="s">
        <v>54</v>
      </c>
      <c r="C9" s="117">
        <f aca="true" t="shared" si="2" ref="C9:O9">SUM(C7:C8)</f>
        <v>85000000</v>
      </c>
      <c r="D9" s="117">
        <f t="shared" si="2"/>
        <v>77609000</v>
      </c>
      <c r="E9" s="117">
        <f t="shared" si="2"/>
        <v>53720000</v>
      </c>
      <c r="F9" s="117">
        <f t="shared" si="2"/>
        <v>35326000</v>
      </c>
      <c r="G9" s="117">
        <f t="shared" si="2"/>
        <v>38468000</v>
      </c>
      <c r="H9" s="117">
        <f t="shared" si="2"/>
        <v>0</v>
      </c>
      <c r="I9" s="117">
        <f t="shared" si="2"/>
        <v>113672000</v>
      </c>
      <c r="J9" s="117">
        <f t="shared" si="2"/>
        <v>113120000</v>
      </c>
      <c r="K9" s="117">
        <f t="shared" si="2"/>
        <v>121126000</v>
      </c>
      <c r="L9" s="117">
        <f t="shared" si="2"/>
        <v>57974000</v>
      </c>
      <c r="M9" s="117">
        <f t="shared" si="2"/>
        <v>72887000</v>
      </c>
      <c r="N9" s="117">
        <f t="shared" si="2"/>
        <v>89649000</v>
      </c>
      <c r="O9" s="117">
        <f t="shared" si="2"/>
        <v>128490000</v>
      </c>
      <c r="P9" s="117">
        <f>ROUND(((C9+O9)+(SUM(D9:N9)*2))/24,3)</f>
        <v>73358000</v>
      </c>
    </row>
    <row r="10" spans="1:16" ht="14.25" thickTop="1">
      <c r="A10" s="109">
        <f t="shared" si="1"/>
        <v>6</v>
      </c>
      <c r="B10" s="116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1"/>
    </row>
    <row r="11" spans="1:16" ht="12.75">
      <c r="A11" s="109">
        <f t="shared" si="1"/>
        <v>7</v>
      </c>
      <c r="B11" s="116" t="s">
        <v>55</v>
      </c>
      <c r="C11" s="116"/>
      <c r="D11" s="116">
        <f aca="true" t="shared" si="3" ref="D11:O11">+D5-C5</f>
        <v>59</v>
      </c>
      <c r="E11" s="116">
        <f t="shared" si="3"/>
        <v>31</v>
      </c>
      <c r="F11" s="116">
        <f t="shared" si="3"/>
        <v>30</v>
      </c>
      <c r="G11" s="116">
        <f t="shared" si="3"/>
        <v>31</v>
      </c>
      <c r="H11" s="116">
        <f t="shared" si="3"/>
        <v>30</v>
      </c>
      <c r="I11" s="116">
        <f t="shared" si="3"/>
        <v>31</v>
      </c>
      <c r="J11" s="116">
        <f t="shared" si="3"/>
        <v>31</v>
      </c>
      <c r="K11" s="116">
        <f t="shared" si="3"/>
        <v>30</v>
      </c>
      <c r="L11" s="116">
        <f t="shared" si="3"/>
        <v>31</v>
      </c>
      <c r="M11" s="116">
        <f t="shared" si="3"/>
        <v>30</v>
      </c>
      <c r="N11" s="116">
        <f t="shared" si="3"/>
        <v>31</v>
      </c>
      <c r="O11" s="116">
        <f t="shared" si="3"/>
        <v>31</v>
      </c>
      <c r="P11" s="116">
        <f>SUM(C11:O11)</f>
        <v>396</v>
      </c>
    </row>
    <row r="12" spans="1:16" ht="12.75">
      <c r="A12" s="109">
        <f t="shared" si="1"/>
        <v>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1:16" ht="12.75">
      <c r="A13" s="109">
        <f t="shared" si="1"/>
        <v>9</v>
      </c>
      <c r="B13" s="114" t="s">
        <v>94</v>
      </c>
      <c r="C13" s="116"/>
      <c r="D13" s="124">
        <f>AVERAGE(C7:D7)*(D19*D11/360)</f>
        <v>0</v>
      </c>
      <c r="E13" s="124">
        <f>AVERAGE(D7:E7)*(E19*E11/360)</f>
        <v>0</v>
      </c>
      <c r="F13" s="124">
        <f aca="true" t="shared" si="4" ref="F13:O13">AVERAGE(E7:F7)*(F19*F11/360)</f>
        <v>0</v>
      </c>
      <c r="G13" s="124">
        <f t="shared" si="4"/>
        <v>0</v>
      </c>
      <c r="H13" s="124">
        <f t="shared" si="4"/>
        <v>0</v>
      </c>
      <c r="I13" s="124">
        <f t="shared" si="4"/>
        <v>118954.47444444445</v>
      </c>
      <c r="J13" s="124">
        <f t="shared" si="4"/>
        <v>220126.24666666667</v>
      </c>
      <c r="K13" s="124">
        <f t="shared" si="4"/>
        <v>234456.65833333335</v>
      </c>
      <c r="L13" s="124">
        <f t="shared" si="4"/>
        <v>149546.15277777778</v>
      </c>
      <c r="M13" s="124">
        <f t="shared" si="4"/>
        <v>57975.28333333334</v>
      </c>
      <c r="N13" s="124">
        <f t="shared" si="4"/>
        <v>69388.19555555556</v>
      </c>
      <c r="O13" s="124">
        <f t="shared" si="4"/>
        <v>102136.09611111112</v>
      </c>
      <c r="P13" s="124">
        <f>SUM(C13:O13)</f>
        <v>952583.1072222221</v>
      </c>
    </row>
    <row r="14" spans="1:16" ht="12.75">
      <c r="A14" s="109">
        <f t="shared" si="1"/>
        <v>10</v>
      </c>
      <c r="B14" s="116" t="s">
        <v>61</v>
      </c>
      <c r="C14" s="116"/>
      <c r="D14" s="124">
        <f>AVERAGE(C8:D8)*(D20*D$11/360)</f>
        <v>683567.58375</v>
      </c>
      <c r="E14" s="124">
        <f>AVERAGE(D8:E8)*(E20*E$11/360)</f>
        <v>290072.92875</v>
      </c>
      <c r="F14" s="124">
        <f aca="true" t="shared" si="5" ref="F14:O14">AVERAGE(E8:F8)*(F20*F$11/360)</f>
        <v>190335.825</v>
      </c>
      <c r="G14" s="124">
        <f t="shared" si="5"/>
        <v>147106.28916666668</v>
      </c>
      <c r="H14" s="124">
        <f t="shared" si="5"/>
        <v>74211.18333333333</v>
      </c>
      <c r="I14" s="124">
        <f t="shared" si="5"/>
        <v>107647.50000000001</v>
      </c>
      <c r="J14" s="124">
        <f t="shared" si="5"/>
        <v>183154.02777777778</v>
      </c>
      <c r="K14" s="124">
        <f t="shared" si="5"/>
        <v>168641.6666666667</v>
      </c>
      <c r="L14" s="124">
        <f t="shared" si="5"/>
        <v>168928.47222222222</v>
      </c>
      <c r="M14" s="124">
        <f t="shared" si="5"/>
        <v>153583.33333333334</v>
      </c>
      <c r="N14" s="124">
        <f t="shared" si="5"/>
        <v>202137.22222222225</v>
      </c>
      <c r="O14" s="124">
        <f t="shared" si="5"/>
        <v>262277.22222222225</v>
      </c>
      <c r="P14" s="133">
        <f>SUM(C14:O14)</f>
        <v>2631663.2544444446</v>
      </c>
    </row>
    <row r="15" spans="1:16" ht="13.5" thickBot="1">
      <c r="A15" s="109">
        <f t="shared" si="1"/>
        <v>11</v>
      </c>
      <c r="B15" s="116" t="s">
        <v>56</v>
      </c>
      <c r="C15" s="116"/>
      <c r="D15" s="126">
        <f aca="true" t="shared" si="6" ref="D15:P15">SUM(D13:D14)</f>
        <v>683567.58375</v>
      </c>
      <c r="E15" s="126">
        <f t="shared" si="6"/>
        <v>290072.92875</v>
      </c>
      <c r="F15" s="126">
        <f t="shared" si="6"/>
        <v>190335.825</v>
      </c>
      <c r="G15" s="126">
        <f t="shared" si="6"/>
        <v>147106.28916666668</v>
      </c>
      <c r="H15" s="126">
        <f t="shared" si="6"/>
        <v>74211.18333333333</v>
      </c>
      <c r="I15" s="126">
        <f t="shared" si="6"/>
        <v>226601.97444444447</v>
      </c>
      <c r="J15" s="126">
        <f t="shared" si="6"/>
        <v>403280.27444444445</v>
      </c>
      <c r="K15" s="126">
        <f t="shared" si="6"/>
        <v>403098.32500000007</v>
      </c>
      <c r="L15" s="126">
        <f t="shared" si="6"/>
        <v>318474.625</v>
      </c>
      <c r="M15" s="126">
        <f t="shared" si="6"/>
        <v>211558.6166666667</v>
      </c>
      <c r="N15" s="126">
        <f t="shared" si="6"/>
        <v>271525.4177777778</v>
      </c>
      <c r="O15" s="126">
        <f t="shared" si="6"/>
        <v>364413.31833333336</v>
      </c>
      <c r="P15" s="126">
        <f t="shared" si="6"/>
        <v>3584246.361666667</v>
      </c>
    </row>
    <row r="16" spans="1:16" ht="13.5" thickTop="1">
      <c r="A16" s="109">
        <f t="shared" si="1"/>
        <v>12</v>
      </c>
      <c r="B16" s="106" t="s">
        <v>57</v>
      </c>
      <c r="C16" s="106"/>
      <c r="D16" s="127">
        <f>(+D15)/((D9+C9)/2)*(360/D11)</f>
        <v>0.0513</v>
      </c>
      <c r="E16" s="127">
        <f>(+E15)/((E9+D9)/2)*(360/E11)</f>
        <v>0.051300000000000005</v>
      </c>
      <c r="F16" s="127">
        <f aca="true" t="shared" si="7" ref="F16:O16">(+F15)/((F9+E9)/2)*(360/F11)</f>
        <v>0.0513</v>
      </c>
      <c r="G16" s="127">
        <f t="shared" si="7"/>
        <v>0.04630000000000001</v>
      </c>
      <c r="H16" s="127">
        <f t="shared" si="7"/>
        <v>0.0463</v>
      </c>
      <c r="I16" s="127">
        <f t="shared" si="7"/>
        <v>0.04630000000000001</v>
      </c>
      <c r="J16" s="127">
        <f t="shared" si="7"/>
        <v>0.0413</v>
      </c>
      <c r="K16" s="127">
        <f t="shared" si="7"/>
        <v>0.0413</v>
      </c>
      <c r="L16" s="127">
        <f t="shared" si="7"/>
        <v>0.0413</v>
      </c>
      <c r="M16" s="127">
        <f t="shared" si="7"/>
        <v>0.0388</v>
      </c>
      <c r="N16" s="127">
        <f t="shared" si="7"/>
        <v>0.03880000000000001</v>
      </c>
      <c r="O16" s="127">
        <f t="shared" si="7"/>
        <v>0.03880000000000001</v>
      </c>
      <c r="P16" s="106"/>
    </row>
    <row r="17" spans="1:16" ht="12.75">
      <c r="A17" s="109">
        <f t="shared" si="1"/>
        <v>13</v>
      </c>
      <c r="B17" s="106"/>
      <c r="C17" s="106"/>
      <c r="D17" s="127"/>
      <c r="E17" s="127"/>
      <c r="F17" s="127"/>
      <c r="G17" s="127"/>
      <c r="H17" s="127"/>
      <c r="I17" s="127"/>
      <c r="J17" s="127"/>
      <c r="K17" s="127"/>
      <c r="L17" s="127"/>
      <c r="M17" s="106" t="s">
        <v>58</v>
      </c>
      <c r="O17" s="106"/>
      <c r="P17" s="127">
        <f>(+P15)/P9</f>
        <v>0.04885965213973482</v>
      </c>
    </row>
    <row r="18" spans="1:16" ht="12.75">
      <c r="A18" s="109">
        <f t="shared" si="1"/>
        <v>14</v>
      </c>
      <c r="B18" s="106"/>
      <c r="C18" s="10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06"/>
      <c r="O18" s="106"/>
      <c r="P18" s="127"/>
    </row>
    <row r="19" spans="1:16" ht="12.75">
      <c r="A19" s="109">
        <f t="shared" si="1"/>
        <v>15</v>
      </c>
      <c r="B19" s="122" t="s">
        <v>95</v>
      </c>
      <c r="C19" s="123"/>
      <c r="D19" s="123">
        <v>0.0513</v>
      </c>
      <c r="E19" s="123">
        <v>0.0513</v>
      </c>
      <c r="F19" s="123">
        <v>0.0513</v>
      </c>
      <c r="G19" s="123">
        <v>0.0463</v>
      </c>
      <c r="H19" s="123">
        <v>0.0463</v>
      </c>
      <c r="I19" s="123">
        <v>0.0463</v>
      </c>
      <c r="J19" s="123">
        <v>0.0413</v>
      </c>
      <c r="K19" s="123">
        <v>0.0413</v>
      </c>
      <c r="L19" s="123">
        <v>0.0413</v>
      </c>
      <c r="M19" s="123">
        <v>0.0388</v>
      </c>
      <c r="N19" s="123">
        <v>0.0388</v>
      </c>
      <c r="O19" s="123">
        <v>0.0388</v>
      </c>
      <c r="P19" s="123"/>
    </row>
    <row r="20" spans="1:16" ht="12.75">
      <c r="A20" s="109">
        <f t="shared" si="1"/>
        <v>16</v>
      </c>
      <c r="B20" s="122" t="s">
        <v>59</v>
      </c>
      <c r="C20" s="123"/>
      <c r="D20" s="123">
        <v>0.0513</v>
      </c>
      <c r="E20" s="123">
        <v>0.0513</v>
      </c>
      <c r="F20" s="123">
        <v>0.0513</v>
      </c>
      <c r="G20" s="123">
        <v>0.0463</v>
      </c>
      <c r="H20" s="123">
        <v>0.0463</v>
      </c>
      <c r="I20" s="123">
        <v>0.0463</v>
      </c>
      <c r="J20" s="123">
        <v>0.0413</v>
      </c>
      <c r="K20" s="123">
        <v>0.0413</v>
      </c>
      <c r="L20" s="123">
        <v>0.0413</v>
      </c>
      <c r="M20" s="123">
        <v>0.0388</v>
      </c>
      <c r="N20" s="123">
        <v>0.0388</v>
      </c>
      <c r="O20" s="123">
        <v>0.0388</v>
      </c>
      <c r="P20" s="123"/>
    </row>
    <row r="21" spans="1:16" ht="12.75">
      <c r="A21" s="109">
        <f t="shared" si="1"/>
        <v>17</v>
      </c>
      <c r="B21" s="116"/>
      <c r="C21" s="116"/>
      <c r="D21" s="119"/>
      <c r="E21" s="116"/>
      <c r="F21" s="116"/>
      <c r="G21" s="11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ht="12.75">
      <c r="A22" s="109">
        <f t="shared" si="1"/>
        <v>18</v>
      </c>
      <c r="B22" s="113" t="s">
        <v>62</v>
      </c>
      <c r="C22" s="114"/>
      <c r="D22" s="114">
        <v>46400000</v>
      </c>
      <c r="E22" s="114">
        <v>37900000</v>
      </c>
      <c r="F22" s="114">
        <v>36600000</v>
      </c>
      <c r="G22" s="114">
        <v>39700000</v>
      </c>
      <c r="H22" s="114">
        <v>35900000</v>
      </c>
      <c r="I22" s="114">
        <v>32600000</v>
      </c>
      <c r="J22" s="114">
        <v>35400000</v>
      </c>
      <c r="K22" s="114">
        <v>37400000</v>
      </c>
      <c r="L22" s="114">
        <v>40200000</v>
      </c>
      <c r="M22" s="114">
        <v>40200000</v>
      </c>
      <c r="N22" s="114">
        <v>50500000</v>
      </c>
      <c r="O22" s="114">
        <v>61300000</v>
      </c>
      <c r="P22" s="130"/>
    </row>
    <row r="23" spans="1:16" ht="12.75">
      <c r="A23" s="109">
        <f t="shared" si="1"/>
        <v>19</v>
      </c>
      <c r="B23" s="113" t="s">
        <v>75</v>
      </c>
      <c r="C23" s="134"/>
      <c r="D23" s="114">
        <f>(+D22*0.00375/365*D11)+(295000000*0.001/360*D11)</f>
        <v>76473.24961948249</v>
      </c>
      <c r="E23" s="114">
        <f aca="true" t="shared" si="8" ref="E23:O23">(+E22*0.00375/365*E11)+(295000000*0.001/360*E11)</f>
        <v>37473.66818873668</v>
      </c>
      <c r="F23" s="114">
        <f t="shared" si="8"/>
        <v>35864.15525114155</v>
      </c>
      <c r="G23" s="114">
        <f t="shared" si="8"/>
        <v>38046.95585996956</v>
      </c>
      <c r="H23" s="114">
        <f t="shared" si="8"/>
        <v>35648.40182648402</v>
      </c>
      <c r="I23" s="114">
        <f t="shared" si="8"/>
        <v>35785.65449010654</v>
      </c>
      <c r="J23" s="114">
        <f t="shared" si="8"/>
        <v>36677.435312024354</v>
      </c>
      <c r="K23" s="114">
        <f t="shared" si="8"/>
        <v>36110.7305936073</v>
      </c>
      <c r="L23" s="114">
        <f t="shared" si="8"/>
        <v>38206.20243531202</v>
      </c>
      <c r="M23" s="114">
        <f t="shared" si="8"/>
        <v>36973.74429223745</v>
      </c>
      <c r="N23" s="114">
        <f t="shared" si="8"/>
        <v>41486.681887366816</v>
      </c>
      <c r="O23" s="114">
        <f t="shared" si="8"/>
        <v>44926.40791476408</v>
      </c>
      <c r="P23" s="130">
        <f>SUM(D23:O23)</f>
        <v>493673.2876712328</v>
      </c>
    </row>
    <row r="24" spans="1:16" ht="12.75">
      <c r="A24" s="109">
        <f t="shared" si="1"/>
        <v>20</v>
      </c>
      <c r="B24" s="113" t="s">
        <v>63</v>
      </c>
      <c r="C24" s="134"/>
      <c r="D24" s="114">
        <v>39527.63</v>
      </c>
      <c r="E24" s="114">
        <v>39527.63</v>
      </c>
      <c r="F24" s="114">
        <v>39527.63</v>
      </c>
      <c r="G24" s="114">
        <v>39527.63</v>
      </c>
      <c r="H24" s="114">
        <v>39527.63</v>
      </c>
      <c r="I24" s="114">
        <v>39527.63</v>
      </c>
      <c r="J24" s="114">
        <v>39527.63</v>
      </c>
      <c r="K24" s="114">
        <v>39527.63</v>
      </c>
      <c r="L24" s="114">
        <v>39527.63</v>
      </c>
      <c r="M24" s="114">
        <v>39527.63</v>
      </c>
      <c r="N24" s="114">
        <v>39527.63</v>
      </c>
      <c r="O24" s="114">
        <v>39527.63</v>
      </c>
      <c r="P24" s="130">
        <f>SUM(D24:O24)</f>
        <v>474331.56</v>
      </c>
    </row>
    <row r="25" spans="1:16" ht="12.75">
      <c r="A25" s="109">
        <f t="shared" si="1"/>
        <v>21</v>
      </c>
      <c r="B25" s="113" t="s">
        <v>64</v>
      </c>
      <c r="C25" s="135"/>
      <c r="D25" s="114">
        <v>2701</v>
      </c>
      <c r="E25" s="114">
        <v>2701</v>
      </c>
      <c r="F25" s="114">
        <v>2701</v>
      </c>
      <c r="G25" s="114">
        <v>2701</v>
      </c>
      <c r="H25" s="114">
        <v>2701</v>
      </c>
      <c r="I25" s="114">
        <v>2701</v>
      </c>
      <c r="J25" s="114">
        <v>2701</v>
      </c>
      <c r="K25" s="114">
        <v>2701</v>
      </c>
      <c r="L25" s="114">
        <v>2701</v>
      </c>
      <c r="M25" s="114">
        <v>2701</v>
      </c>
      <c r="N25" s="114">
        <v>2701</v>
      </c>
      <c r="O25" s="114">
        <v>2701</v>
      </c>
      <c r="P25" s="130">
        <f>SUM(D25:O25)</f>
        <v>32412</v>
      </c>
    </row>
    <row r="26" spans="1:16" ht="12.75">
      <c r="A26" s="109">
        <f t="shared" si="1"/>
        <v>22</v>
      </c>
      <c r="B26" s="113" t="s">
        <v>76</v>
      </c>
      <c r="D26" s="114">
        <f>(+D8*0.00225/360*D11)+(86700000*0.001/360*D11)</f>
        <v>42827.48541666666</v>
      </c>
      <c r="E26" s="114">
        <f>(+E8*0.00225/360*E11)+(86700000*0.001/360*E11)</f>
        <v>17874.083333333332</v>
      </c>
      <c r="F26" s="114">
        <f>(+F8*0.00225/360*F11)+(86700000*0.001/360*F11)</f>
        <v>13848.625</v>
      </c>
      <c r="G26" s="114">
        <f>(+G8*0.003/360*G11)+(86700000*0.00125/360*G11)</f>
        <v>19269.858333333334</v>
      </c>
      <c r="H26" s="114">
        <f aca="true" t="shared" si="9" ref="H26:O26">(+H8*0.003/360*H11)+(86700000*0.00125/360*H11)</f>
        <v>9031.25</v>
      </c>
      <c r="I26" s="114">
        <f t="shared" si="9"/>
        <v>23282.291666666668</v>
      </c>
      <c r="J26" s="114">
        <f t="shared" si="9"/>
        <v>21990.625</v>
      </c>
      <c r="K26" s="114">
        <f t="shared" si="9"/>
        <v>21281.25</v>
      </c>
      <c r="L26" s="114">
        <f t="shared" si="9"/>
        <v>21215.625</v>
      </c>
      <c r="M26" s="114">
        <f t="shared" si="9"/>
        <v>21281.25</v>
      </c>
      <c r="N26" s="114">
        <f t="shared" si="9"/>
        <v>27932.291666666668</v>
      </c>
      <c r="O26" s="114">
        <f t="shared" si="9"/>
        <v>31290.625000000004</v>
      </c>
      <c r="P26" s="136">
        <f>SUM(D26:O26)</f>
        <v>271125.2604166667</v>
      </c>
    </row>
    <row r="27" spans="1:16" ht="12.75">
      <c r="A27" s="112"/>
      <c r="B27" s="129"/>
      <c r="C27" s="123"/>
      <c r="D27" s="123"/>
      <c r="E27" s="123"/>
      <c r="F27" s="123"/>
      <c r="G27" s="123"/>
      <c r="H27" s="106"/>
      <c r="I27" s="106"/>
      <c r="J27" s="106"/>
      <c r="K27" s="106"/>
      <c r="L27" s="106"/>
      <c r="M27" s="106"/>
      <c r="N27" s="106"/>
      <c r="O27" s="106"/>
      <c r="P27" s="130">
        <f>SUM(P22:P26)</f>
        <v>1271542.1080878996</v>
      </c>
    </row>
    <row r="28" spans="1:16" ht="12.75">
      <c r="A28" s="109"/>
      <c r="P28" s="106"/>
    </row>
    <row r="29" spans="1:16" ht="12.75">
      <c r="A29" s="109"/>
      <c r="O29" s="137" t="s">
        <v>65</v>
      </c>
      <c r="P29" s="130">
        <f>+P27+P15</f>
        <v>4855788.469754566</v>
      </c>
    </row>
    <row r="30" spans="1:16" ht="12.75">
      <c r="A30" s="109"/>
      <c r="O30" s="137" t="s">
        <v>66</v>
      </c>
      <c r="P30" s="130">
        <f>+P9</f>
        <v>73358000</v>
      </c>
    </row>
    <row r="31" spans="1:16" ht="13.5" customHeight="1">
      <c r="A31" s="109"/>
      <c r="B31" s="138"/>
      <c r="C31" s="123"/>
      <c r="D31" s="123"/>
      <c r="E31" s="123"/>
      <c r="F31" s="123"/>
      <c r="G31" s="123"/>
      <c r="H31" s="106"/>
      <c r="I31" s="106"/>
      <c r="J31" s="106"/>
      <c r="K31" s="106"/>
      <c r="L31" s="106"/>
      <c r="M31" s="106"/>
      <c r="O31" s="137" t="s">
        <v>67</v>
      </c>
      <c r="P31" s="127">
        <f>+P29/P30</f>
        <v>0.06619303238575978</v>
      </c>
    </row>
    <row r="32" spans="1:15" ht="12.75">
      <c r="A32" s="109"/>
      <c r="B32" s="116" t="s">
        <v>92</v>
      </c>
      <c r="C32" s="106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</row>
    <row r="33" spans="1:16" ht="15.75">
      <c r="A33" s="8"/>
      <c r="B33" s="116" t="s">
        <v>96</v>
      </c>
      <c r="P33" s="7"/>
    </row>
    <row r="35" spans="2:15" ht="12.75">
      <c r="B35" s="139"/>
      <c r="C35" s="123"/>
      <c r="D35" s="123"/>
      <c r="E35" s="123"/>
      <c r="F35" s="123"/>
      <c r="G35" s="123"/>
      <c r="H35" s="106"/>
      <c r="I35" s="106"/>
      <c r="J35" s="106"/>
      <c r="K35" s="106"/>
      <c r="L35" s="106"/>
      <c r="M35" s="106"/>
      <c r="N35" s="106"/>
      <c r="O35" s="106"/>
    </row>
    <row r="36" ht="12.75">
      <c r="P36" s="106"/>
    </row>
  </sheetData>
  <sheetProtection/>
  <mergeCells count="3">
    <mergeCell ref="A1:P1"/>
    <mergeCell ref="A3:P3"/>
    <mergeCell ref="A2:P2"/>
  </mergeCells>
  <printOptions/>
  <pageMargins left="0.55" right="0.42" top="1" bottom="1" header="0.5" footer="0.5"/>
  <pageSetup fitToHeight="1" fitToWidth="1" horizontalDpi="600" verticalDpi="600" orientation="landscape" scale="72" r:id="rId1"/>
  <headerFooter alignWithMargins="0">
    <oddHeader>&amp;RExhibit  No. __(MKM-2)</oddHeader>
    <oddFooter>&amp;RPage &amp;[5 of &amp;[5</oddFooter>
  </headerFooter>
  <ignoredErrors>
    <ignoredError sqref="D13:O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Talia Wilson</dc:creator>
  <cp:keywords/>
  <dc:description/>
  <cp:lastModifiedBy>jocarlson</cp:lastModifiedBy>
  <cp:lastPrinted>2008-02-20T23:26:53Z</cp:lastPrinted>
  <dcterms:created xsi:type="dcterms:W3CDTF">2007-10-17T17:14:21Z</dcterms:created>
  <dcterms:modified xsi:type="dcterms:W3CDTF">2008-03-04T22:42:35Z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Testimony</vt:lpwstr>
  </property>
  <property fmtid="{D5CDD505-2E9C-101B-9397-08002B2CF9AE}" pid="4" name="IsHighlyConfidential">
    <vt:lpwstr>0</vt:lpwstr>
  </property>
  <property fmtid="{D5CDD505-2E9C-101B-9397-08002B2CF9AE}" pid="5" name="DocketNumber">
    <vt:lpwstr>080416</vt:lpwstr>
  </property>
  <property fmtid="{D5CDD505-2E9C-101B-9397-08002B2CF9AE}" pid="6" name="IsConfidential">
    <vt:lpwstr>0</vt:lpwstr>
  </property>
  <property fmtid="{D5CDD505-2E9C-101B-9397-08002B2CF9AE}" pid="7" name="Date1">
    <vt:lpwstr>2008-03-04T00:00:00Z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2008-03-04T00:00:00Z</vt:lpwstr>
  </property>
  <property fmtid="{D5CDD505-2E9C-101B-9397-08002B2CF9AE}" pid="10" name="Prefix">
    <vt:lpwstr>UE</vt:lpwstr>
  </property>
  <property fmtid="{D5CDD505-2E9C-101B-9397-08002B2CF9AE}" pid="11" name="CaseCompanyNames">
    <vt:lpwstr>Avista Corporation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