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3 BLR Update\230805-PSE-WP-REVREQ-COS-2023-BLR-UPDATE-12-2023(C)\"/>
    </mc:Choice>
  </mc:AlternateContent>
  <bookViews>
    <workbookView xWindow="1755" yWindow="225" windowWidth="27000" windowHeight="15315"/>
  </bookViews>
  <sheets>
    <sheet name="Deficiency" sheetId="1" r:id="rId1"/>
    <sheet name="Explain" sheetId="13" r:id="rId2"/>
    <sheet name="Exhibit A-1 2024" sheetId="6" r:id="rId3"/>
    <sheet name="22GRC=&gt;" sheetId="12" r:id="rId4"/>
    <sheet name="Exhibit A-1 22GRC" sheetId="7" r:id="rId5"/>
    <sheet name="22GRC Load" sheetId="11" r:id="rId6"/>
    <sheet name="PKW" sheetId="14" r:id="rId7"/>
  </sheets>
  <externalReferences>
    <externalReference r:id="rId8"/>
    <externalReference r:id="rId9"/>
    <externalReference r:id="rId10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2">{"'Sheet1'!$A$1:$J$121"}</definedName>
    <definedName name="HTML_Control" localSheetId="4">{"'Sheet1'!$A$1:$J$121"}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IF(PKW!Values_Entered,Header_Row+PKW!Number_of_Payments,Header_Row)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pping">[1]map!$A$2:$C$47</definedName>
    <definedName name="Number_of_Payments" localSheetId="2">MATCH(0.01,End_Bal,-1)+1</definedName>
    <definedName name="Number_of_Payments" localSheetId="4">MATCH(0.01,End_Bal,-1)+1</definedName>
    <definedName name="Number_of_Payments" localSheetId="6">MATCH(0.01,End_Bal,-1)+1</definedName>
    <definedName name="Number_of_Payments">MATCH(0.01,End_Bal,-1)+1</definedName>
    <definedName name="NvsASD" localSheetId="6">"V2005-12-31"</definedName>
    <definedName name="NvsASD">"V1999-02-28"</definedName>
    <definedName name="NvsAutoDrillOk">"VN"</definedName>
    <definedName name="NvsElapsedTime" localSheetId="6">0.00881805555400206</definedName>
    <definedName name="NvsElapsedTime">0.00604305555316387</definedName>
    <definedName name="NvsEndTime" localSheetId="6">38831.5955224537</definedName>
    <definedName name="NvsEndTime">36245.5384840278</definedName>
    <definedName name="NvsInstSpec" localSheetId="6">"%"</definedName>
    <definedName name="NvsInstSpec">"%,FPPL_SUPP_RES_CTR,TPPL_RPTD_SRC,NFOSSIL"</definedName>
    <definedName name="NvsLayoutType">"M3"</definedName>
    <definedName name="NvsNplSpec" localSheetId="6">"%,X,RZF..,CZF.."</definedName>
    <definedName name="NvsNplSpec">"%,X,RNF..,CZF.."</definedName>
    <definedName name="NvsPanelEffdt" localSheetId="6">"V2020-12-31"</definedName>
    <definedName name="NvsPanelEffdt">"V1900-01-01"</definedName>
    <definedName name="NvsPanelSetid" localSheetId="6">"VCPSTD"</definedName>
    <definedName name="NvsPanelSetid">"VSHARE"</definedName>
    <definedName name="NvsReqBU" localSheetId="6">"VCPSTD"</definedName>
    <definedName name="NvsReqBU">"V10000"</definedName>
    <definedName name="NvsReqBUOnly">"VN"</definedName>
    <definedName name="NvsTransLed">"VN"</definedName>
    <definedName name="NvsTreeASD" localSheetId="6">"V2005-12-31"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2">'Exhibit A-1 2024'!$A$1:$G$52</definedName>
    <definedName name="_xlnm.Print_Area" localSheetId="4">'Exhibit A-1 22GRC'!$A$1:$G$50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 localSheetId="2">Scheduled_Payment+Extra_Payment</definedName>
    <definedName name="Total_Payment" localSheetId="4">Scheduled_Payment+Extra_Payment</definedName>
    <definedName name="Total_Payment" localSheetId="6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4">IF(Loan_Amount*Interest_Rate*Loan_Years*Loan_Start&gt;0,1,0)</definedName>
    <definedName name="Values_Entered" localSheetId="6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6" l="1"/>
  <c r="D20" i="1"/>
  <c r="K30" i="1" l="1"/>
  <c r="K23" i="1" l="1"/>
  <c r="K24" i="1" s="1"/>
  <c r="K14" i="1"/>
  <c r="K13" i="1"/>
  <c r="E58" i="13" l="1"/>
  <c r="E56" i="13"/>
  <c r="E54" i="13"/>
  <c r="D54" i="13"/>
  <c r="E53" i="13"/>
  <c r="D53" i="13"/>
  <c r="K15" i="1" l="1"/>
  <c r="K29" i="1" s="1"/>
  <c r="K31" i="1" s="1"/>
  <c r="Q59" i="6" l="1"/>
  <c r="P59" i="6"/>
  <c r="Q58" i="6"/>
  <c r="P58" i="6"/>
  <c r="Q57" i="6"/>
  <c r="P57" i="6"/>
  <c r="Q56" i="6"/>
  <c r="P56" i="6"/>
  <c r="Q55" i="6"/>
  <c r="P55" i="6"/>
  <c r="Q54" i="6"/>
  <c r="P54" i="6"/>
  <c r="Q53" i="6"/>
  <c r="P53" i="6"/>
  <c r="Q52" i="6"/>
  <c r="P52" i="6"/>
  <c r="Q51" i="6"/>
  <c r="P51" i="6"/>
  <c r="T41" i="6"/>
  <c r="S41" i="6"/>
  <c r="R41" i="6"/>
  <c r="R40" i="6"/>
  <c r="Q40" i="6"/>
  <c r="T39" i="6"/>
  <c r="S39" i="6"/>
  <c r="R39" i="6"/>
  <c r="Q39" i="6"/>
  <c r="P39" i="6"/>
  <c r="R38" i="6"/>
  <c r="T37" i="6"/>
  <c r="S37" i="6"/>
  <c r="P37" i="6"/>
  <c r="T36" i="6"/>
  <c r="S36" i="6"/>
  <c r="P36" i="6"/>
  <c r="T35" i="6"/>
  <c r="S35" i="6"/>
  <c r="P35" i="6"/>
  <c r="T34" i="6"/>
  <c r="S34" i="6"/>
  <c r="P34" i="6"/>
  <c r="S33" i="6"/>
  <c r="S32" i="6"/>
  <c r="T31" i="6"/>
  <c r="T30" i="6"/>
  <c r="S29" i="6"/>
  <c r="S28" i="6"/>
  <c r="T27" i="6"/>
  <c r="S27" i="6"/>
  <c r="P27" i="6"/>
  <c r="T26" i="6"/>
  <c r="S26" i="6"/>
  <c r="P26" i="6"/>
  <c r="T25" i="6"/>
  <c r="S25" i="6"/>
  <c r="Q25" i="6"/>
  <c r="P25" i="6"/>
  <c r="T24" i="6"/>
  <c r="S24" i="6"/>
  <c r="P24" i="6"/>
  <c r="T23" i="6"/>
  <c r="S23" i="6"/>
  <c r="P23" i="6"/>
  <c r="T22" i="6"/>
  <c r="S22" i="6"/>
  <c r="P22" i="6"/>
  <c r="S21" i="6"/>
  <c r="P11" i="6"/>
  <c r="P10" i="6"/>
  <c r="P9" i="6"/>
  <c r="P8" i="6"/>
  <c r="P7" i="6"/>
  <c r="F53" i="1"/>
  <c r="E53" i="1"/>
  <c r="D53" i="1"/>
  <c r="G52" i="1"/>
  <c r="E52" i="1"/>
  <c r="E51" i="1"/>
  <c r="G50" i="1"/>
  <c r="F50" i="1"/>
  <c r="E50" i="1"/>
  <c r="D50" i="1"/>
  <c r="E49" i="1"/>
  <c r="G48" i="1"/>
  <c r="E48" i="1"/>
  <c r="E46" i="1"/>
  <c r="C33" i="6" l="1"/>
  <c r="P33" i="6" s="1"/>
  <c r="C32" i="6"/>
  <c r="P32" i="6" s="1"/>
  <c r="C30" i="6"/>
  <c r="P30" i="6" s="1"/>
  <c r="C29" i="6"/>
  <c r="P29" i="6" s="1"/>
  <c r="C28" i="6"/>
  <c r="P28" i="6" s="1"/>
  <c r="C21" i="6"/>
  <c r="P21" i="6" s="1"/>
  <c r="C20" i="6"/>
  <c r="C19" i="6"/>
  <c r="D9" i="13"/>
  <c r="D52" i="13" s="1"/>
  <c r="E7" i="13"/>
  <c r="E50" i="13" s="1"/>
  <c r="D7" i="13"/>
  <c r="D50" i="13" s="1"/>
  <c r="P41" i="6"/>
  <c r="D49" i="1"/>
  <c r="E13" i="13" l="1"/>
  <c r="H12" i="13"/>
  <c r="E11" i="13"/>
  <c r="F11" i="13" s="1"/>
  <c r="F54" i="13" s="1"/>
  <c r="E9" i="13"/>
  <c r="E52" i="13" s="1"/>
  <c r="D7" i="14"/>
  <c r="D8" i="14"/>
  <c r="D9" i="14"/>
  <c r="D10" i="14"/>
  <c r="D11" i="14"/>
  <c r="I12" i="14"/>
  <c r="J12" i="14"/>
  <c r="K12" i="14"/>
  <c r="D13" i="14"/>
  <c r="D14" i="14"/>
  <c r="D15" i="14"/>
  <c r="D49" i="14" s="1"/>
  <c r="C17" i="14"/>
  <c r="E17" i="14"/>
  <c r="F17" i="14"/>
  <c r="F51" i="14" s="1"/>
  <c r="C41" i="14"/>
  <c r="E41" i="14"/>
  <c r="F41" i="14"/>
  <c r="C42" i="14"/>
  <c r="D42" i="14"/>
  <c r="E42" i="14"/>
  <c r="F42" i="14"/>
  <c r="C43" i="14"/>
  <c r="D43" i="14"/>
  <c r="E43" i="14"/>
  <c r="F43" i="14"/>
  <c r="C44" i="14"/>
  <c r="D44" i="14"/>
  <c r="E44" i="14"/>
  <c r="F44" i="14"/>
  <c r="C45" i="14"/>
  <c r="D45" i="14"/>
  <c r="E45" i="14"/>
  <c r="F45" i="14"/>
  <c r="C46" i="14"/>
  <c r="E46" i="14"/>
  <c r="F46" i="14"/>
  <c r="C47" i="14"/>
  <c r="D47" i="14"/>
  <c r="E47" i="14"/>
  <c r="F47" i="14"/>
  <c r="C48" i="14"/>
  <c r="D48" i="14"/>
  <c r="E48" i="14"/>
  <c r="F48" i="14"/>
  <c r="C49" i="14"/>
  <c r="E49" i="14"/>
  <c r="F49" i="14"/>
  <c r="C50" i="14"/>
  <c r="D50" i="14"/>
  <c r="E50" i="14"/>
  <c r="F50" i="14"/>
  <c r="C51" i="14"/>
  <c r="E51" i="14"/>
  <c r="C53" i="14"/>
  <c r="D53" i="14"/>
  <c r="E53" i="14"/>
  <c r="F53" i="14"/>
  <c r="M12" i="14" l="1"/>
  <c r="D41" i="14"/>
  <c r="J13" i="14"/>
  <c r="J14" i="14" s="1"/>
  <c r="J15" i="14" s="1"/>
  <c r="J27" i="14" l="1"/>
  <c r="J29" i="14" s="1"/>
  <c r="D12" i="14"/>
  <c r="D46" i="14" l="1"/>
  <c r="D17" i="14"/>
  <c r="D51" i="14" s="1"/>
  <c r="E10" i="13" l="1"/>
  <c r="E8" i="13"/>
  <c r="D10" i="13"/>
  <c r="F10" i="13" s="1"/>
  <c r="F53" i="13" s="1"/>
  <c r="F9" i="13"/>
  <c r="F52" i="13" s="1"/>
  <c r="D8" i="13"/>
  <c r="D51" i="13" s="1"/>
  <c r="E12" i="13" l="1"/>
  <c r="E55" i="13" s="1"/>
  <c r="E51" i="13"/>
  <c r="E14" i="13"/>
  <c r="E57" i="13" s="1"/>
  <c r="F7" i="13"/>
  <c r="F50" i="13" s="1"/>
  <c r="D12" i="13"/>
  <c r="D55" i="13" s="1"/>
  <c r="F8" i="13"/>
  <c r="F51" i="13" s="1"/>
  <c r="F12" i="13" l="1"/>
  <c r="F55" i="13" s="1"/>
  <c r="E22" i="13"/>
  <c r="E16" i="13"/>
  <c r="E59" i="13" s="1"/>
  <c r="F20" i="1" l="1"/>
  <c r="F16" i="1"/>
  <c r="F45" i="1" l="1"/>
  <c r="I12" i="13"/>
  <c r="D11" i="1"/>
  <c r="K8" i="11" l="1"/>
  <c r="M8" i="11"/>
  <c r="N8" i="11"/>
  <c r="O8" i="11"/>
  <c r="A9" i="11"/>
  <c r="A10" i="11" s="1"/>
  <c r="A11" i="11" s="1"/>
  <c r="A12" i="11" s="1"/>
  <c r="A13" i="11" s="1"/>
  <c r="A14" i="11" s="1"/>
  <c r="A15" i="11" s="1"/>
  <c r="A16" i="11" s="1"/>
  <c r="A17" i="11" s="1"/>
  <c r="K9" i="11"/>
  <c r="M9" i="11"/>
  <c r="N9" i="11"/>
  <c r="O9" i="11"/>
  <c r="C12" i="11"/>
  <c r="D12" i="11"/>
  <c r="E12" i="11"/>
  <c r="G12" i="11"/>
  <c r="H12" i="11"/>
  <c r="I12" i="11"/>
  <c r="Q12" i="11"/>
  <c r="O12" i="11" l="1"/>
  <c r="N12" i="11"/>
  <c r="M12" i="11"/>
  <c r="K12" i="11"/>
  <c r="K17" i="11"/>
  <c r="I14" i="11"/>
  <c r="D57" i="6" l="1"/>
  <c r="D56" i="6"/>
  <c r="D55" i="6"/>
  <c r="G21" i="6" l="1"/>
  <c r="T21" i="6" s="1"/>
  <c r="D21" i="6" l="1"/>
  <c r="Q21" i="6" s="1"/>
  <c r="D41" i="6"/>
  <c r="Q41" i="6" s="1"/>
  <c r="F17" i="1"/>
  <c r="F46" i="1" s="1"/>
  <c r="C36" i="6" l="1"/>
  <c r="C35" i="6"/>
  <c r="C34" i="6"/>
  <c r="C31" i="6"/>
  <c r="P31" i="6" s="1"/>
  <c r="C23" i="6"/>
  <c r="C24" i="6"/>
  <c r="C26" i="6"/>
  <c r="C27" i="6"/>
  <c r="C22" i="6"/>
  <c r="C16" i="6"/>
  <c r="C11" i="6"/>
  <c r="C9" i="6"/>
  <c r="C8" i="6"/>
  <c r="C7" i="6"/>
  <c r="A9" i="7"/>
  <c r="A10" i="7" s="1"/>
  <c r="A11" i="7" s="1"/>
  <c r="A12" i="7" s="1"/>
  <c r="C9" i="7"/>
  <c r="I9" i="7"/>
  <c r="I10" i="7" s="1"/>
  <c r="I11" i="7" s="1"/>
  <c r="I12" i="7" s="1"/>
  <c r="K9" i="7"/>
  <c r="Q9" i="7"/>
  <c r="Q10" i="7" s="1"/>
  <c r="Q11" i="7" s="1"/>
  <c r="Q12" i="7" s="1"/>
  <c r="S9" i="7"/>
  <c r="C14" i="7"/>
  <c r="D14" i="7" s="1"/>
  <c r="K14" i="7"/>
  <c r="N14" i="7" s="1"/>
  <c r="L14" i="7"/>
  <c r="S14" i="7"/>
  <c r="T14" i="7" s="1"/>
  <c r="D15" i="7"/>
  <c r="G15" i="7"/>
  <c r="L15" i="7"/>
  <c r="O15" i="7"/>
  <c r="T15" i="7"/>
  <c r="W15" i="7"/>
  <c r="C16" i="7"/>
  <c r="D16" i="7"/>
  <c r="F16" i="7"/>
  <c r="K16" i="7"/>
  <c r="N16" i="7" s="1"/>
  <c r="L16" i="7"/>
  <c r="S16" i="7"/>
  <c r="V16" i="7" s="1"/>
  <c r="C17" i="7"/>
  <c r="D17" i="7" s="1"/>
  <c r="K17" i="7"/>
  <c r="L17" i="7"/>
  <c r="N17" i="7"/>
  <c r="S17" i="7"/>
  <c r="T17" i="7" s="1"/>
  <c r="D18" i="7"/>
  <c r="G18" i="7"/>
  <c r="L18" i="7"/>
  <c r="O18" i="7"/>
  <c r="T18" i="7"/>
  <c r="W18" i="7"/>
  <c r="D19" i="7"/>
  <c r="G19" i="7"/>
  <c r="L19" i="7"/>
  <c r="O19" i="7"/>
  <c r="T19" i="7"/>
  <c r="W19" i="7"/>
  <c r="D20" i="7"/>
  <c r="F20" i="7"/>
  <c r="L20" i="7"/>
  <c r="N20" i="7"/>
  <c r="T20" i="7"/>
  <c r="V20" i="7"/>
  <c r="D21" i="7"/>
  <c r="F21" i="7"/>
  <c r="L21" i="7"/>
  <c r="N21" i="7"/>
  <c r="T21" i="7"/>
  <c r="V21" i="7"/>
  <c r="D22" i="7"/>
  <c r="F22" i="7"/>
  <c r="L22" i="7"/>
  <c r="N22" i="7"/>
  <c r="T22" i="7"/>
  <c r="V22" i="7"/>
  <c r="D24" i="7"/>
  <c r="F24" i="7"/>
  <c r="L24" i="7"/>
  <c r="N24" i="7"/>
  <c r="T24" i="7"/>
  <c r="V24" i="7"/>
  <c r="D25" i="7"/>
  <c r="G25" i="7"/>
  <c r="L25" i="7"/>
  <c r="O25" i="7"/>
  <c r="T25" i="7"/>
  <c r="W25" i="7"/>
  <c r="D26" i="7"/>
  <c r="G26" i="7"/>
  <c r="L26" i="7"/>
  <c r="O26" i="7"/>
  <c r="T26" i="7"/>
  <c r="W26" i="7"/>
  <c r="D27" i="7"/>
  <c r="G27" i="7"/>
  <c r="L27" i="7"/>
  <c r="O27" i="7"/>
  <c r="T27" i="7"/>
  <c r="W27" i="7"/>
  <c r="D28" i="7"/>
  <c r="F28" i="7"/>
  <c r="L28" i="7"/>
  <c r="N28" i="7"/>
  <c r="T28" i="7"/>
  <c r="V28" i="7"/>
  <c r="D29" i="7"/>
  <c r="F29" i="7"/>
  <c r="L29" i="7"/>
  <c r="N29" i="7"/>
  <c r="T29" i="7"/>
  <c r="V29" i="7"/>
  <c r="D30" i="7"/>
  <c r="G30" i="7"/>
  <c r="L30" i="7"/>
  <c r="O30" i="7"/>
  <c r="T30" i="7"/>
  <c r="W30" i="7"/>
  <c r="D31" i="7"/>
  <c r="G31" i="7"/>
  <c r="L31" i="7"/>
  <c r="O31" i="7"/>
  <c r="T31" i="7"/>
  <c r="W31" i="7"/>
  <c r="D32" i="7"/>
  <c r="F32" i="7"/>
  <c r="L32" i="7"/>
  <c r="N32" i="7"/>
  <c r="T32" i="7"/>
  <c r="V32" i="7"/>
  <c r="D33" i="7"/>
  <c r="F33" i="7"/>
  <c r="L33" i="7"/>
  <c r="N33" i="7"/>
  <c r="T33" i="7"/>
  <c r="V33" i="7"/>
  <c r="D34" i="7"/>
  <c r="F34" i="7"/>
  <c r="L34" i="7"/>
  <c r="N34" i="7"/>
  <c r="T34" i="7"/>
  <c r="V34" i="7"/>
  <c r="F37" i="7"/>
  <c r="G37" i="7"/>
  <c r="K37" i="7"/>
  <c r="S37" i="7" s="1"/>
  <c r="N37" i="7"/>
  <c r="O37" i="7"/>
  <c r="Z39" i="7"/>
  <c r="Z43" i="7"/>
  <c r="AB39" i="7" s="1"/>
  <c r="AB43" i="7"/>
  <c r="S46" i="7"/>
  <c r="D56" i="7"/>
  <c r="C35" i="7" s="1"/>
  <c r="L56" i="7"/>
  <c r="K35" i="7" s="1"/>
  <c r="C37" i="6" s="1"/>
  <c r="T56" i="7"/>
  <c r="S35" i="7" s="1"/>
  <c r="T57" i="7" s="1"/>
  <c r="C63" i="7"/>
  <c r="K63" i="7"/>
  <c r="S63" i="7"/>
  <c r="C64" i="7"/>
  <c r="K64" i="7"/>
  <c r="S64" i="7"/>
  <c r="C65" i="7"/>
  <c r="K65" i="7"/>
  <c r="S65" i="7"/>
  <c r="C66" i="7"/>
  <c r="K66" i="7"/>
  <c r="S66" i="7"/>
  <c r="C69" i="7"/>
  <c r="K69" i="7"/>
  <c r="S69" i="7"/>
  <c r="C70" i="7"/>
  <c r="K70" i="7"/>
  <c r="S70" i="7"/>
  <c r="C71" i="7"/>
  <c r="K71" i="7"/>
  <c r="S71" i="7"/>
  <c r="C72" i="7"/>
  <c r="K72" i="7"/>
  <c r="S72" i="7"/>
  <c r="D74" i="7"/>
  <c r="L74" i="7"/>
  <c r="T74" i="7"/>
  <c r="V37" i="7" l="1"/>
  <c r="W37" i="7"/>
  <c r="T46" i="7"/>
  <c r="T16" i="7"/>
  <c r="V17" i="7"/>
  <c r="F14" i="7"/>
  <c r="L57" i="7"/>
  <c r="N35" i="7"/>
  <c r="L35" i="7"/>
  <c r="L36" i="7" s="1"/>
  <c r="K44" i="7" s="1"/>
  <c r="L44" i="7" s="1"/>
  <c r="S73" i="7"/>
  <c r="U73" i="7" s="1"/>
  <c r="K45" i="7"/>
  <c r="K47" i="7" s="1"/>
  <c r="K73" i="7"/>
  <c r="K46" i="7"/>
  <c r="L46" i="7" s="1"/>
  <c r="G36" i="7"/>
  <c r="O36" i="7"/>
  <c r="O38" i="7" s="1"/>
  <c r="C46" i="7"/>
  <c r="D46" i="7" s="1"/>
  <c r="S67" i="7"/>
  <c r="U67" i="7" s="1"/>
  <c r="K67" i="7"/>
  <c r="M67" i="7" s="1"/>
  <c r="W36" i="7"/>
  <c r="C67" i="7"/>
  <c r="E67" i="7" s="1"/>
  <c r="K36" i="7"/>
  <c r="K38" i="7" s="1"/>
  <c r="V35" i="7"/>
  <c r="C73" i="7"/>
  <c r="C74" i="7" s="1"/>
  <c r="C75" i="7" s="1"/>
  <c r="T35" i="7"/>
  <c r="E73" i="7"/>
  <c r="D35" i="7"/>
  <c r="D57" i="7"/>
  <c r="F35" i="7"/>
  <c r="M73" i="7"/>
  <c r="C45" i="7"/>
  <c r="T36" i="7"/>
  <c r="S44" i="7" s="1"/>
  <c r="T44" i="7" s="1"/>
  <c r="S45" i="7"/>
  <c r="C36" i="7"/>
  <c r="C38" i="7" s="1"/>
  <c r="V46" i="7"/>
  <c r="W38" i="7"/>
  <c r="W46" i="7" s="1"/>
  <c r="D36" i="7"/>
  <c r="C44" i="7" s="1"/>
  <c r="D44" i="7" s="1"/>
  <c r="V14" i="7"/>
  <c r="S36" i="7"/>
  <c r="F17" i="7"/>
  <c r="F36" i="7" s="1"/>
  <c r="G38" i="7" l="1"/>
  <c r="L45" i="7"/>
  <c r="L47" i="7" s="1"/>
  <c r="L48" i="7" s="1"/>
  <c r="N36" i="7"/>
  <c r="N38" i="7" s="1"/>
  <c r="Z42" i="7" s="1"/>
  <c r="V36" i="7"/>
  <c r="X36" i="7" s="1"/>
  <c r="K48" i="7"/>
  <c r="K74" i="7"/>
  <c r="K75" i="7" s="1"/>
  <c r="S74" i="7"/>
  <c r="S75" i="7" s="1"/>
  <c r="T45" i="7"/>
  <c r="T47" i="7" s="1"/>
  <c r="T48" i="7" s="1"/>
  <c r="S47" i="7"/>
  <c r="S48" i="7" s="1"/>
  <c r="C47" i="7"/>
  <c r="C48" i="7" s="1"/>
  <c r="D45" i="7"/>
  <c r="D47" i="7" s="1"/>
  <c r="D48" i="7" s="1"/>
  <c r="F38" i="7"/>
  <c r="H36" i="7"/>
  <c r="Z44" i="7"/>
  <c r="AB38" i="7"/>
  <c r="AB40" i="7" s="1"/>
  <c r="S38" i="7"/>
  <c r="W44" i="7" s="1"/>
  <c r="V44" i="7"/>
  <c r="V45" i="7"/>
  <c r="V47" i="7" s="1"/>
  <c r="V48" i="7" s="1"/>
  <c r="V38" i="7" l="1"/>
  <c r="H38" i="7"/>
  <c r="Z38" i="7"/>
  <c r="Z40" i="7" s="1"/>
  <c r="Z46" i="7" s="1"/>
  <c r="Z47" i="7" s="1"/>
  <c r="Z48" i="7"/>
  <c r="AB48" i="7"/>
  <c r="X38" i="7"/>
  <c r="W45" i="7"/>
  <c r="W47" i="7" s="1"/>
  <c r="W48" i="7" s="1"/>
  <c r="AB42" i="7"/>
  <c r="AB44" i="7" s="1"/>
  <c r="AB46" i="7" s="1"/>
  <c r="AB47" i="7" s="1"/>
  <c r="A10" i="6" l="1"/>
  <c r="C10" i="6"/>
  <c r="A11" i="6"/>
  <c r="A12" i="6"/>
  <c r="A13" i="6" s="1"/>
  <c r="C15" i="6"/>
  <c r="D16" i="6"/>
  <c r="C17" i="6"/>
  <c r="C18" i="6"/>
  <c r="D22" i="6"/>
  <c r="Q22" i="6" s="1"/>
  <c r="F22" i="6"/>
  <c r="D24" i="6"/>
  <c r="Q24" i="6" s="1"/>
  <c r="F24" i="6"/>
  <c r="D27" i="6"/>
  <c r="Q27" i="6" s="1"/>
  <c r="D30" i="6"/>
  <c r="Q30" i="6" s="1"/>
  <c r="D31" i="6"/>
  <c r="Q31" i="6" s="1"/>
  <c r="F31" i="6"/>
  <c r="S31" i="6" s="1"/>
  <c r="D34" i="6"/>
  <c r="Q34" i="6" s="1"/>
  <c r="D35" i="6"/>
  <c r="Q35" i="6" s="1"/>
  <c r="F35" i="6"/>
  <c r="D36" i="6"/>
  <c r="Q36" i="6" s="1"/>
  <c r="F36" i="6"/>
  <c r="F39" i="6"/>
  <c r="G39" i="6"/>
  <c r="D58" i="6"/>
  <c r="F15" i="6" l="1"/>
  <c r="F18" i="6"/>
  <c r="D17" i="6"/>
  <c r="D15" i="6"/>
  <c r="F30" i="6"/>
  <c r="S30" i="6" s="1"/>
  <c r="G27" i="6"/>
  <c r="F17" i="6"/>
  <c r="F34" i="6"/>
  <c r="D18" i="6"/>
  <c r="G16" i="6"/>
  <c r="D37" i="6"/>
  <c r="Q37" i="6" s="1"/>
  <c r="D59" i="6"/>
  <c r="F37" i="6"/>
  <c r="D17" i="1"/>
  <c r="K25" i="1" l="1"/>
  <c r="K16" i="1"/>
  <c r="D46" i="1"/>
  <c r="D13" i="13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B22" i="1" l="1"/>
  <c r="F13" i="13"/>
  <c r="D56" i="13"/>
  <c r="D14" i="13"/>
  <c r="D57" i="13" s="1"/>
  <c r="G24" i="1"/>
  <c r="G53" i="1" s="1"/>
  <c r="F19" i="1"/>
  <c r="F22" i="1" l="1"/>
  <c r="F48" i="1"/>
  <c r="F14" i="13"/>
  <c r="F57" i="13" s="1"/>
  <c r="F56" i="13"/>
  <c r="D23" i="6"/>
  <c r="Q23" i="6" s="1"/>
  <c r="F23" i="6"/>
  <c r="F51" i="1" l="1"/>
  <c r="F23" i="1"/>
  <c r="F52" i="1" s="1"/>
  <c r="D28" i="6"/>
  <c r="Q28" i="6" s="1"/>
  <c r="G28" i="6"/>
  <c r="T28" i="6" s="1"/>
  <c r="G33" i="6" l="1"/>
  <c r="T33" i="6" s="1"/>
  <c r="D33" i="6"/>
  <c r="Q33" i="6" s="1"/>
  <c r="D20" i="6"/>
  <c r="G20" i="6"/>
  <c r="D32" i="6"/>
  <c r="Q32" i="6" s="1"/>
  <c r="G32" i="6"/>
  <c r="T32" i="6" s="1"/>
  <c r="D29" i="6"/>
  <c r="Q29" i="6" s="1"/>
  <c r="G29" i="6"/>
  <c r="T29" i="6" s="1"/>
  <c r="D19" i="6" l="1"/>
  <c r="C48" i="6" s="1"/>
  <c r="P48" i="6" s="1"/>
  <c r="G19" i="6"/>
  <c r="C38" i="6"/>
  <c r="P38" i="6" s="1"/>
  <c r="F26" i="6"/>
  <c r="D26" i="6"/>
  <c r="Q26" i="6" s="1"/>
  <c r="F38" i="6" l="1"/>
  <c r="S38" i="6" s="1"/>
  <c r="C40" i="6"/>
  <c r="P40" i="6" s="1"/>
  <c r="G38" i="6"/>
  <c r="T38" i="6" s="1"/>
  <c r="C47" i="6"/>
  <c r="P47" i="6" s="1"/>
  <c r="D38" i="6"/>
  <c r="Q38" i="6" s="1"/>
  <c r="C49" i="6" l="1"/>
  <c r="P49" i="6" s="1"/>
  <c r="D47" i="6"/>
  <c r="Q47" i="6" s="1"/>
  <c r="F40" i="6"/>
  <c r="S40" i="6" s="1"/>
  <c r="AL38" i="6"/>
  <c r="G40" i="6"/>
  <c r="D16" i="1"/>
  <c r="D45" i="1" s="1"/>
  <c r="C46" i="6"/>
  <c r="P46" i="6" s="1"/>
  <c r="D48" i="6"/>
  <c r="Q48" i="6" s="1"/>
  <c r="D22" i="13" l="1"/>
  <c r="T40" i="6"/>
  <c r="H60" i="13" s="1"/>
  <c r="K17" i="1" s="1"/>
  <c r="D19" i="1"/>
  <c r="G16" i="1"/>
  <c r="AL40" i="6"/>
  <c r="D46" i="6"/>
  <c r="Q46" i="6" s="1"/>
  <c r="D49" i="6"/>
  <c r="Q49" i="6" s="1"/>
  <c r="C50" i="6"/>
  <c r="P50" i="6" s="1"/>
  <c r="D22" i="1" l="1"/>
  <c r="D23" i="1" s="1"/>
  <c r="D52" i="1" s="1"/>
  <c r="D48" i="1"/>
  <c r="J12" i="13"/>
  <c r="G45" i="1"/>
  <c r="D50" i="6"/>
  <c r="Q50" i="6" s="1"/>
  <c r="G22" i="1" l="1"/>
  <c r="D51" i="1"/>
  <c r="G26" i="1" l="1"/>
  <c r="D15" i="13" s="1"/>
  <c r="D58" i="13" s="1"/>
  <c r="G51" i="1"/>
  <c r="G55" i="1" l="1"/>
  <c r="K19" i="1" s="1"/>
  <c r="C15" i="1"/>
  <c r="F15" i="13" l="1"/>
  <c r="D16" i="13"/>
  <c r="D59" i="13" s="1"/>
  <c r="F16" i="13" l="1"/>
  <c r="F58" i="13"/>
  <c r="K20" i="1" s="1"/>
  <c r="K21" i="1" s="1"/>
  <c r="F22" i="13" l="1"/>
  <c r="F59" i="13"/>
  <c r="H59" i="13" s="1"/>
</calcChain>
</file>

<file path=xl/sharedStrings.xml><?xml version="1.0" encoding="utf-8"?>
<sst xmlns="http://schemas.openxmlformats.org/spreadsheetml/2006/main" count="817" uniqueCount="267">
  <si>
    <t>D</t>
  </si>
  <si>
    <t>447-Sales to Others</t>
  </si>
  <si>
    <t xml:space="preserve"> </t>
  </si>
  <si>
    <t>←check</t>
  </si>
  <si>
    <t>Power Cost Baseline Rate</t>
  </si>
  <si>
    <t>Variable Production Costs</t>
  </si>
  <si>
    <t xml:space="preserve">Fixed Production Costs </t>
  </si>
  <si>
    <t>Rev Req (Column (II) )</t>
  </si>
  <si>
    <t>Sensitive Items</t>
  </si>
  <si>
    <t>After Rev.</t>
  </si>
  <si>
    <t>Before Rev.</t>
  </si>
  <si>
    <t>For PCA Mechanism</t>
  </si>
  <si>
    <t>Rate Year DELIVERED Load (MWh's)</t>
  </si>
  <si>
    <t>Grossed up for RSI</t>
  </si>
  <si>
    <t>Revenue Sensitive Items</t>
  </si>
  <si>
    <t>Subtotal &amp; Baseline Rate</t>
  </si>
  <si>
    <t>F</t>
  </si>
  <si>
    <t>Amortization  - Reg Assets - Non PC Only</t>
  </si>
  <si>
    <t>Fixed</t>
  </si>
  <si>
    <t>Depreciation-Transmission</t>
  </si>
  <si>
    <t>Depreciation-Production (FERC 403)</t>
  </si>
  <si>
    <t>Transmission Exp - 500KV</t>
  </si>
  <si>
    <t>V</t>
  </si>
  <si>
    <t>456-Purch/Sales Non-Core Gas</t>
  </si>
  <si>
    <t>Production O&amp;M</t>
  </si>
  <si>
    <t>456-1 OATT Transmission Income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</si>
  <si>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</si>
  <si>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</si>
  <si>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</si>
  <si>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</si>
  <si>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</si>
  <si>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</si>
  <si>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in tracker</t>
  </si>
  <si>
    <t xml:space="preserve">Montana Electric Energy Tax </t>
  </si>
  <si>
    <t>15c</t>
  </si>
  <si>
    <t>15b</t>
  </si>
  <si>
    <t>Property Insurance (A&amp;G)</t>
  </si>
  <si>
    <t>Payroll Overheads - Benefits</t>
  </si>
  <si>
    <t>15a</t>
  </si>
  <si>
    <t>557-Other Power Exp</t>
  </si>
  <si>
    <t>555-Purchased power Incl Reg Amort</t>
  </si>
  <si>
    <t>501-Steam Fuel Incl Reg Amort</t>
  </si>
  <si>
    <t>Fixed Asset Return Production (on Row 5)</t>
  </si>
  <si>
    <t>Fixed Asset Return Transmission (on Row 4)</t>
  </si>
  <si>
    <t>Equity Adder Centralia Coal Transition PPA</t>
  </si>
  <si>
    <t>10a</t>
  </si>
  <si>
    <t>Fixed Asset Return Reg Assets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</si>
  <si>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</si>
  <si>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</si>
  <si>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</si>
  <si>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</si>
  <si>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</si>
  <si>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</si>
  <si>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</si>
  <si>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</si>
  <si>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</si>
  <si>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</si>
  <si>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</si>
  <si>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</si>
  <si>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 xml:space="preserve">Net of tax rate of return </t>
  </si>
  <si>
    <t xml:space="preserve">     Net Rate Base for Exh. A-1</t>
  </si>
  <si>
    <t>Production Rate Base</t>
  </si>
  <si>
    <t>Transmission Rate Base</t>
  </si>
  <si>
    <t>Regulatory Assets</t>
  </si>
  <si>
    <t>Row</t>
  </si>
  <si>
    <t>AMA Rate Year 1</t>
  </si>
  <si>
    <t>22GRC Rate Year 1 - 2023</t>
  </si>
  <si>
    <t>Exhibit A-1 Power Cost Baseline Rate</t>
  </si>
  <si>
    <t>Puget Sound Energy</t>
  </si>
  <si>
    <t>REVENUE (SURPLUS) / DEFICIENCY</t>
  </si>
  <si>
    <t xml:space="preserve">Revenue </t>
  </si>
  <si>
    <t>TY</t>
  </si>
  <si>
    <t>Deficiency</t>
  </si>
  <si>
    <t>RY</t>
  </si>
  <si>
    <t>(Surplus)</t>
  </si>
  <si>
    <t>VARIABLE DEFICIENCY (SURPLUS)</t>
  </si>
  <si>
    <t>Total Variable Costs</t>
  </si>
  <si>
    <t>Conversion Factor for Revenue Sensitive Items ("RSI")</t>
  </si>
  <si>
    <t>Total Variable Costs Grossed-up RSI's</t>
  </si>
  <si>
    <t>check</t>
  </si>
  <si>
    <t>2022 GRC</t>
  </si>
  <si>
    <t>Jul '20 ~ Jun '21</t>
  </si>
  <si>
    <t>2023 BLR Update</t>
  </si>
  <si>
    <t>Check=&gt;</t>
  </si>
  <si>
    <t>TOTAL NON-POWER COST RELATED</t>
  </si>
  <si>
    <t>MINT FARM DEFFRED - UE-090704 (ends Mar 2025)</t>
  </si>
  <si>
    <t>CARRYING CHARGES ON LSR PREPAID TRANSM</t>
  </si>
  <si>
    <t>SPI Biogas</t>
  </si>
  <si>
    <t xml:space="preserve">FERC </t>
  </si>
  <si>
    <t>NON POWER COST RELATED REG ASSETS &amp; LIAB</t>
  </si>
  <si>
    <t>Rate Year</t>
  </si>
  <si>
    <t>←s/b zero</t>
  </si>
  <si>
    <t>All Other Energy Costs</t>
  </si>
  <si>
    <t>s/b zero</t>
  </si>
  <si>
    <t xml:space="preserve">565-Wheeling </t>
  </si>
  <si>
    <t xml:space="preserve">547-Fuel </t>
  </si>
  <si>
    <t>501-Steam Fuel</t>
  </si>
  <si>
    <t xml:space="preserve">     Total 555 and 557</t>
  </si>
  <si>
    <t>Brokerage Fees</t>
  </si>
  <si>
    <t>557-Other Power</t>
  </si>
  <si>
    <t>555-Purchased Power</t>
  </si>
  <si>
    <t>Equity Adder</t>
  </si>
  <si>
    <t>In Model</t>
  </si>
  <si>
    <t>A-1</t>
  </si>
  <si>
    <t>Validate Energy in A-1 to Model</t>
  </si>
  <si>
    <t>Whole Dollar Change</t>
  </si>
  <si>
    <t>←check→</t>
  </si>
  <si>
    <t>Volumetric Change</t>
  </si>
  <si>
    <t>BLR Change</t>
  </si>
  <si>
    <t>2025 BLR</t>
  </si>
  <si>
    <t>2024 BLR</t>
  </si>
  <si>
    <t>2025 Load</t>
  </si>
  <si>
    <t>2024 Load</t>
  </si>
  <si>
    <t>2025 Total Cost</t>
  </si>
  <si>
    <t>2024 Total Cost</t>
  </si>
  <si>
    <t>2023 BLR</t>
  </si>
  <si>
    <t>For Sch 139 Green Direct Credit</t>
  </si>
  <si>
    <t>2023 Load</t>
  </si>
  <si>
    <t>2023 Total Cost</t>
  </si>
  <si>
    <t>2025 Change</t>
  </si>
  <si>
    <t>2024 Change</t>
  </si>
  <si>
    <t>Supports impact of removing fixed production if we are granted the fixed production PCORC</t>
  </si>
  <si>
    <t>Please do not remove</t>
  </si>
  <si>
    <t>Property Insurance</t>
  </si>
  <si>
    <t>AMA Rate Year 3</t>
  </si>
  <si>
    <t>AMA Rate Year 2</t>
  </si>
  <si>
    <t>22GRC Rate Year 3 - 2025</t>
  </si>
  <si>
    <t>22GRC Rate Year 2 - 2024</t>
  </si>
  <si>
    <t>NOT USING</t>
  </si>
  <si>
    <t>Jan '24~ Dec '24</t>
  </si>
  <si>
    <t>23BLR Update Rate Year - 2024</t>
  </si>
  <si>
    <t>AMA Rate Year 2024</t>
  </si>
  <si>
    <t>14a</t>
  </si>
  <si>
    <r>
      <t xml:space="preserve">557-Demand Response  </t>
    </r>
    <r>
      <rPr>
        <b/>
        <sz val="8.25"/>
        <color rgb="FFFF0000"/>
        <rFont val="Arial"/>
        <family val="2"/>
      </rPr>
      <t>NEW</t>
    </r>
  </si>
  <si>
    <t>Rate Year DELIVERED Load Incl Green Direct (MWh's)</t>
  </si>
  <si>
    <t>Rate Year DELIVERED Load Excl Gr Direct (MWh's)</t>
  </si>
  <si>
    <t xml:space="preserve">Note 1: Delivered Total Load excluding Transportation and Special Contract loads, but grossed up for company use and losses </t>
  </si>
  <si>
    <t>Firm Resale Load % (C/B)</t>
  </si>
  <si>
    <t>C</t>
  </si>
  <si>
    <t>Firm Resale Load</t>
  </si>
  <si>
    <t>Production Factor (B/A)</t>
  </si>
  <si>
    <t>B</t>
  </si>
  <si>
    <t>A</t>
  </si>
  <si>
    <t>Load for PCORC</t>
  </si>
  <si>
    <t>Temperature Normalization Adjustment</t>
  </si>
  <si>
    <t>Remove Schedule 139 Green Direct Load</t>
  </si>
  <si>
    <t>Remove Transportation &amp; Special Contract Load</t>
  </si>
  <si>
    <t>Total Delivered Load</t>
  </si>
  <si>
    <t>K</t>
  </si>
  <si>
    <t>J</t>
  </si>
  <si>
    <t>I</t>
  </si>
  <si>
    <t>H</t>
  </si>
  <si>
    <t>G</t>
  </si>
  <si>
    <t>E</t>
  </si>
  <si>
    <t>Actual Normalized
Delivered 
kWh Load 
YE June 2020</t>
  </si>
  <si>
    <t>F2021 Forecast 
Delivered
kWh Load 
YE December 2023</t>
  </si>
  <si>
    <t>F2021 Forecast 
Delivered
kWh Load 
YE December 2024</t>
  </si>
  <si>
    <t>F2021 Forecast 
Delivered
kWh Load 
YE December 2025</t>
  </si>
  <si>
    <t>F2021 Forecast 
Full 
kWh Load 
YE December 2023</t>
  </si>
  <si>
    <t>F2021 Forecast 
Full 
kWh Load 
YE December 2024</t>
  </si>
  <si>
    <t>F2021 Forecast 
Full 
kWh Load 
YE December 2025</t>
  </si>
  <si>
    <t>Tariff</t>
  </si>
  <si>
    <t>Line No.</t>
  </si>
  <si>
    <t>Base Rate Load</t>
  </si>
  <si>
    <t>Delivered Load Including Green Direct</t>
  </si>
  <si>
    <t>Delivered Load Excluding Green Direct</t>
  </si>
  <si>
    <t>GPI</t>
  </si>
  <si>
    <t>Note 1</t>
  </si>
  <si>
    <t>Production Factor</t>
  </si>
  <si>
    <t>2024 BLR Update from 2022 GRC</t>
  </si>
  <si>
    <t>2024 Delivered Load</t>
  </si>
  <si>
    <t>PROFORMA 2024 BLR INCREASE - VARIABLE:</t>
  </si>
  <si>
    <t>Jan '24 ~ Dec '24</t>
  </si>
  <si>
    <t>Add Earnings on Centralia Coal Transition PPA</t>
  </si>
  <si>
    <t>Remove 557 Fixed Costs not to be updated</t>
  </si>
  <si>
    <t>Add Brokerage Fees</t>
  </si>
  <si>
    <t>Updated Power Costs - Adjusted</t>
  </si>
  <si>
    <t>Updated Filing</t>
  </si>
  <si>
    <t>Description</t>
  </si>
  <si>
    <t>Current Rates</t>
  </si>
  <si>
    <t>Difference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</si>
  <si>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</si>
  <si>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>&lt;&lt;&lt;=== Agrees to Order 26</t>
  </si>
  <si>
    <t>Total Rate Year Power Costs</t>
  </si>
  <si>
    <t>Other power supply expense</t>
  </si>
  <si>
    <t>Other revenues</t>
  </si>
  <si>
    <t>Transmission</t>
  </si>
  <si>
    <t>Secondary sales</t>
  </si>
  <si>
    <t>Other contract purchases</t>
  </si>
  <si>
    <t>Market purchases</t>
  </si>
  <si>
    <t>555MP</t>
  </si>
  <si>
    <t>Hydro purchases</t>
  </si>
  <si>
    <t>555H</t>
  </si>
  <si>
    <t>Wind and solar purchases</t>
  </si>
  <si>
    <t>555WS</t>
  </si>
  <si>
    <t>Natural gas fuel</t>
  </si>
  <si>
    <t>Coal fuel</t>
  </si>
  <si>
    <t>2020 PCORC - Final Order</t>
  </si>
  <si>
    <t>2022 GRC - 2025</t>
  </si>
  <si>
    <t>2022 GRC - 2024</t>
  </si>
  <si>
    <t>2022 GRC rate year (2023)</t>
  </si>
  <si>
    <t>($ in thousands)</t>
  </si>
  <si>
    <t>Acct.</t>
  </si>
  <si>
    <t>Diff</t>
  </si>
  <si>
    <t>Change in base rates revenue requirement</t>
  </si>
  <si>
    <t>Conversion Factor</t>
  </si>
  <si>
    <t>Change in the Adjustments</t>
  </si>
  <si>
    <t>Adjustment from the 12/27 Compliance Filing</t>
  </si>
  <si>
    <t>Reconciliation of change in 2024 power costs to change in revenue requirement</t>
  </si>
  <si>
    <t>December 27, 2022 Compliance Filing</t>
  </si>
  <si>
    <t>current compliance filing will never actually be in effect but act as a "placeholer" until the formal update is filed in the 90-day compliance filing for the 2024 rate.</t>
  </si>
  <si>
    <t>Gas price date: 12/01/2021</t>
  </si>
  <si>
    <t>which is reasonable as power costs will be updated in the 2024 Power Cost Update per paragraph 28b in settlement, therefore, the 2024 rates set in the</t>
  </si>
  <si>
    <t>Rate year: January 2023 through December 2023</t>
  </si>
  <si>
    <t xml:space="preserve">The amount to include for 2024 power costs is being determined in this way as it results in no rate change associated with power costs from 2023 - </t>
  </si>
  <si>
    <t>Although there is a revenue requirement change in 2024, due to the change in loads between periods, there is no impact on the overall rate change.</t>
  </si>
  <si>
    <t>(Note 1)</t>
  </si>
  <si>
    <t>* this amount will be slightly different even with 2023 variable pc because of centralia and brokers fees</t>
  </si>
  <si>
    <t>In (000s) to adjust 2024 by</t>
  </si>
  <si>
    <t>$$ Difference to adj 2024</t>
  </si>
  <si>
    <t>Difference to adj 2024</t>
  </si>
  <si>
    <t>Variabl BLR</t>
  </si>
  <si>
    <t>Load</t>
  </si>
  <si>
    <t>A-1 PC at 2023 * See Note</t>
  </si>
  <si>
    <t>2024 Revised</t>
  </si>
  <si>
    <t>Holding Variable Baseline Rate Same in 2024 (Note 1)</t>
  </si>
  <si>
    <t>2024 Assumption:</t>
  </si>
  <si>
    <t>in the power cost work papers for support</t>
  </si>
  <si>
    <t>See file titled "PSE-WP-PKW-No-CCA-Power-cost-summary(C).xlsx"</t>
  </si>
  <si>
    <t>Rate Year Power Costs</t>
  </si>
  <si>
    <t>Gross Up</t>
  </si>
  <si>
    <t>Grossed Up Costs</t>
  </si>
  <si>
    <t>Reduction for Load Growth Between Periods</t>
  </si>
  <si>
    <t>Final Revenue Requirement Change</t>
  </si>
  <si>
    <r>
      <t>2022 GRC change to 2023 for load to establish existing 2024 rates</t>
    </r>
    <r>
      <rPr>
        <vertAlign val="superscript"/>
        <sz val="11"/>
        <color theme="1"/>
        <rFont val="Calibri"/>
        <family val="2"/>
      </rPr>
      <t>(1)</t>
    </r>
  </si>
  <si>
    <t>Line</t>
  </si>
  <si>
    <t>(a)</t>
  </si>
  <si>
    <t>(b)</t>
  </si>
  <si>
    <t>(c)</t>
  </si>
  <si>
    <r>
      <rPr>
        <vertAlign val="superscript"/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To establish the 2024 power cost rates that were approved in the 1/9/2023 2022 GRC compliance, 2024 power costs were </t>
    </r>
  </si>
  <si>
    <t>adjusted to a level that resulted in the same volumetric variable baseline rate as was approved for 2023.</t>
  </si>
  <si>
    <t>2024 Updated Power Costs vs. 2023 Power Costs (Narrative Provided)</t>
  </si>
  <si>
    <t>Total Variable Costs per MWh (Line 19 / Line 20)</t>
  </si>
  <si>
    <t>DIFF</t>
  </si>
  <si>
    <t>Quick Calc:</t>
  </si>
  <si>
    <t>2022 GRC change to 2023 for load to establish existing 2024 rates(1)</t>
  </si>
  <si>
    <t xml:space="preserve">(1) To establish the 2024 power cost rates that were approved in the 1/9/2023 2022 GRC compliance, 2024 power costs were </t>
  </si>
  <si>
    <t>←explanation tab</t>
  </si>
  <si>
    <t>Gross'd up for RSI</t>
  </si>
  <si>
    <t>NOI</t>
  </si>
  <si>
    <t>pretax</t>
  </si>
  <si>
    <t>rev req</t>
  </si>
  <si>
    <t>BDM Change</t>
  </si>
  <si>
    <t>RSIs</t>
  </si>
  <si>
    <t>SEF Change</t>
  </si>
  <si>
    <t>For Cover Letter:</t>
  </si>
  <si>
    <t>Revised Pwr Costs</t>
  </si>
  <si>
    <t>Original Pwr Costs</t>
  </si>
  <si>
    <t>ORIGINAL</t>
  </si>
  <si>
    <t>DIFFERENCE</t>
  </si>
  <si>
    <t>Docket Number UE-230805</t>
  </si>
  <si>
    <t>Exh. SEF-03</t>
  </si>
  <si>
    <t>UE-230805</t>
  </si>
  <si>
    <t>Diff of Increase</t>
  </si>
  <si>
    <t>Diff for Load</t>
  </si>
  <si>
    <t>Diff total</t>
  </si>
  <si>
    <t>←power cost workpaper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</si>
</sst>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&quot;$&quot;* #,##0_);_(&quot;$&quot;* \(#,##0\);_(&quot;$&quot;* &quot;-&quot;???_);_(@_)"/>
    <numFmt numFmtId="168" formatCode="_(&quot;$&quot;* #,##0.000_);_(&quot;$&quot;* \(#,##0.000\);_(&quot;$&quot;* &quot;-&quot;???_);_(@_)"/>
    <numFmt numFmtId="169" formatCode="_(&quot;$&quot;* #,##0.000_);_(&quot;$&quot;* \(#,##0.000\);_(&quot;$&quot;* &quot;-&quot;??_);_(@_)"/>
    <numFmt numFmtId="170" formatCode="_(* #,##0.000_);_(* \(#,##0.000\);_(* &quot;-&quot;??_);_(@_)"/>
    <numFmt numFmtId="171" formatCode="0.000"/>
    <numFmt numFmtId="172" formatCode="_(* #,##0.000000_);_(* \(#,##0.000000\);_(* &quot;-&quot;??_);_(@_)"/>
    <numFmt numFmtId="173" formatCode="_(* #,##0.0000000_);_(* \(#,##0.0000000\);_(* &quot;-&quot;??_);_(@_)"/>
    <numFmt numFmtId="174" formatCode="_(* #,##0.0000_);_(* \(#,##0.0000\);_(* &quot;-&quot;??_);_(@_)"/>
    <numFmt numFmtId="175" formatCode="_(* #,##0.000_);_(* \(#,##0.000\);_(* &quot;-&quot;_);_(@_)"/>
    <numFmt numFmtId="176" formatCode="_(* #,##0.00000000_);_(* \(#,##0.00000000\);_(* &quot;-&quot;??_);_(@_)"/>
    <numFmt numFmtId="177" formatCode="&quot;$&quot;#,##0.000_);\(&quot;$&quot;#,##0.000\)"/>
    <numFmt numFmtId="178" formatCode="&quot;$&quot;#,##0.0_);\(&quot;$&quot;#,##0.0\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.25"/>
      <color rgb="FFFF000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i/>
      <sz val="8"/>
      <color rgb="FF0000FF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00FF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sz val="16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5050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4"/>
      <color rgb="FF006100"/>
      <name val="Calibri"/>
      <family val="2"/>
      <scheme val="minor"/>
    </font>
    <font>
      <u/>
      <sz val="14"/>
      <color rgb="FF006100"/>
      <name val="Calibri"/>
      <family val="2"/>
      <scheme val="minor"/>
    </font>
    <font>
      <b/>
      <i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 style="thin">
        <color indexed="64"/>
      </top>
      <bottom style="double">
        <color indexed="64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</borders>
  <cellStyleXfs count="9">
    <xf numFmtId="0" fontId="0" fillId="0" borderId="0"/>
    <xf numFmtId="43" fontId="24" fillId="0" borderId="0" applyFont="0" applyFill="0" applyBorder="0" applyAlignment="0" applyProtection="0"/>
    <xf numFmtId="0" fontId="27" fillId="0" borderId="0"/>
    <xf numFmtId="44" fontId="24" fillId="0" borderId="0" applyFont="0" applyFill="0" applyBorder="0" applyAlignment="0" applyProtection="0"/>
    <xf numFmtId="0" fontId="32" fillId="7" borderId="0" applyNumberFormat="0" applyBorder="0" applyAlignment="0" applyProtection="0"/>
    <xf numFmtId="0" fontId="35" fillId="8" borderId="0" applyNumberFormat="0" applyBorder="0" applyAlignment="0" applyProtection="0"/>
    <xf numFmtId="166" fontId="7" fillId="0" borderId="0">
      <alignment horizontal="left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166" fontId="6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169" fontId="5" fillId="0" borderId="10" xfId="0" applyNumberFormat="1" applyFont="1" applyFill="1" applyBorder="1" applyAlignment="1"/>
    <xf numFmtId="169" fontId="5" fillId="0" borderId="11" xfId="0" applyNumberFormat="1" applyFont="1" applyFill="1" applyBorder="1" applyAlignment="1"/>
    <xf numFmtId="169" fontId="7" fillId="0" borderId="0" xfId="0" applyNumberFormat="1" applyFont="1" applyFill="1" applyBorder="1" applyAlignment="1"/>
    <xf numFmtId="169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169" fontId="5" fillId="0" borderId="8" xfId="0" applyNumberFormat="1" applyFont="1" applyFill="1" applyBorder="1" applyAlignment="1"/>
    <xf numFmtId="169" fontId="5" fillId="0" borderId="9" xfId="0" applyNumberFormat="1" applyFont="1" applyFill="1" applyBorder="1" applyAlignment="1"/>
    <xf numFmtId="170" fontId="8" fillId="0" borderId="0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Continuous"/>
    </xf>
    <xf numFmtId="170" fontId="8" fillId="0" borderId="11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/>
    <xf numFmtId="0" fontId="8" fillId="0" borderId="10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170" fontId="8" fillId="0" borderId="10" xfId="0" applyNumberFormat="1" applyFont="1" applyFill="1" applyBorder="1" applyAlignment="1">
      <alignment horizontal="center"/>
    </xf>
    <xf numFmtId="170" fontId="8" fillId="0" borderId="11" xfId="0" applyNumberFormat="1" applyFont="1" applyFill="1" applyBorder="1" applyAlignment="1">
      <alignment horizontal="center"/>
    </xf>
    <xf numFmtId="44" fontId="7" fillId="0" borderId="14" xfId="0" applyNumberFormat="1" applyFont="1" applyFill="1" applyBorder="1" applyAlignment="1">
      <alignment horizontal="centerContinuous"/>
    </xf>
    <xf numFmtId="171" fontId="7" fillId="0" borderId="0" xfId="0" applyNumberFormat="1" applyFont="1" applyFill="1" applyBorder="1" applyAlignment="1"/>
    <xf numFmtId="171" fontId="7" fillId="0" borderId="13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/>
    <xf numFmtId="41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5" fontId="5" fillId="0" borderId="4" xfId="0" applyNumberFormat="1" applyFont="1" applyFill="1" applyBorder="1" applyAlignment="1"/>
    <xf numFmtId="0" fontId="10" fillId="0" borderId="0" xfId="0" applyFont="1" applyFill="1"/>
    <xf numFmtId="172" fontId="5" fillId="0" borderId="0" xfId="0" applyNumberFormat="1" applyFont="1" applyFill="1" applyBorder="1" applyAlignment="1"/>
    <xf numFmtId="170" fontId="5" fillId="0" borderId="0" xfId="0" applyNumberFormat="1" applyFont="1" applyFill="1" applyBorder="1" applyAlignment="1"/>
    <xf numFmtId="173" fontId="5" fillId="0" borderId="12" xfId="0" applyNumberFormat="1" applyFont="1" applyFill="1" applyBorder="1" applyAlignment="1"/>
    <xf numFmtId="165" fontId="5" fillId="0" borderId="4" xfId="0" applyNumberFormat="1" applyFont="1" applyFill="1" applyBorder="1" applyAlignment="1">
      <alignment vertical="center"/>
    </xf>
    <xf numFmtId="169" fontId="5" fillId="0" borderId="4" xfId="0" applyNumberFormat="1" applyFont="1" applyFill="1" applyBorder="1" applyAlignment="1">
      <alignment vertical="center"/>
    </xf>
    <xf numFmtId="169" fontId="5" fillId="0" borderId="15" xfId="0" applyNumberFormat="1" applyFont="1" applyFill="1" applyBorder="1" applyAlignment="1">
      <alignment vertical="center"/>
    </xf>
    <xf numFmtId="165" fontId="5" fillId="0" borderId="7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indent="1"/>
    </xf>
    <xf numFmtId="169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indent="1"/>
    </xf>
    <xf numFmtId="164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right"/>
    </xf>
    <xf numFmtId="165" fontId="5" fillId="0" borderId="4" xfId="0" applyNumberFormat="1" applyFont="1" applyFill="1" applyBorder="1"/>
    <xf numFmtId="41" fontId="5" fillId="0" borderId="0" xfId="0" applyNumberFormat="1" applyFont="1" applyFill="1"/>
    <xf numFmtId="165" fontId="5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7" fillId="0" borderId="6" xfId="0" applyFont="1" applyFill="1" applyBorder="1"/>
    <xf numFmtId="0" fontId="14" fillId="0" borderId="5" xfId="0" quotePrefix="1" applyFont="1" applyFill="1" applyBorder="1" applyAlignment="1">
      <alignment horizontal="left"/>
    </xf>
    <xf numFmtId="0" fontId="7" fillId="0" borderId="5" xfId="0" applyFont="1" applyFill="1" applyBorder="1"/>
    <xf numFmtId="0" fontId="14" fillId="0" borderId="3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14" fillId="0" borderId="0" xfId="0" quotePrefix="1" applyFont="1" applyFill="1" applyBorder="1" applyAlignment="1">
      <alignment horizontal="centerContinuous"/>
    </xf>
    <xf numFmtId="0" fontId="7" fillId="0" borderId="3" xfId="0" applyFont="1" applyFill="1" applyBorder="1"/>
    <xf numFmtId="0" fontId="16" fillId="0" borderId="0" xfId="0" applyFont="1" applyFill="1" applyBorder="1"/>
    <xf numFmtId="0" fontId="7" fillId="0" borderId="0" xfId="0" applyFont="1" applyFill="1" applyBorder="1"/>
    <xf numFmtId="0" fontId="16" fillId="0" borderId="0" xfId="0" quotePrefix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7" fillId="0" borderId="3" xfId="0" applyFont="1" applyFill="1" applyBorder="1"/>
    <xf numFmtId="0" fontId="7" fillId="0" borderId="0" xfId="0" applyFont="1" applyFill="1" applyBorder="1" applyAlignment="1">
      <alignment horizontal="right"/>
    </xf>
    <xf numFmtId="16" fontId="7" fillId="0" borderId="0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2" xfId="0" quotePrefix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8" fillId="0" borderId="0" xfId="0" applyFont="1" applyFill="1" applyBorder="1"/>
    <xf numFmtId="174" fontId="7" fillId="0" borderId="0" xfId="0" applyNumberFormat="1" applyFont="1" applyFill="1" applyBorder="1"/>
    <xf numFmtId="165" fontId="7" fillId="0" borderId="0" xfId="0" applyNumberFormat="1" applyFont="1" applyFill="1" applyBorder="1"/>
    <xf numFmtId="173" fontId="7" fillId="0" borderId="12" xfId="0" applyNumberFormat="1" applyFont="1" applyFill="1" applyBorder="1"/>
    <xf numFmtId="173" fontId="7" fillId="0" borderId="0" xfId="0" applyNumberFormat="1" applyFont="1" applyFill="1" applyBorder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 applyAlignment="1"/>
    <xf numFmtId="164" fontId="7" fillId="0" borderId="0" xfId="0" applyNumberFormat="1" applyFont="1" applyFill="1" applyBorder="1"/>
    <xf numFmtId="41" fontId="7" fillId="0" borderId="0" xfId="0" applyNumberFormat="1" applyFont="1" applyFill="1" applyBorder="1"/>
    <xf numFmtId="43" fontId="7" fillId="0" borderId="0" xfId="0" applyNumberFormat="1" applyFont="1" applyFill="1" applyBorder="1"/>
    <xf numFmtId="169" fontId="7" fillId="0" borderId="0" xfId="0" applyNumberFormat="1" applyFont="1" applyFill="1" applyBorder="1"/>
    <xf numFmtId="0" fontId="7" fillId="0" borderId="0" xfId="0" quotePrefix="1" applyNumberFormat="1" applyFont="1" applyFill="1" applyBorder="1" applyAlignment="1">
      <alignment horizontal="left"/>
    </xf>
    <xf numFmtId="175" fontId="7" fillId="0" borderId="0" xfId="0" applyNumberFormat="1" applyFont="1" applyFill="1" applyBorder="1"/>
    <xf numFmtId="165" fontId="7" fillId="2" borderId="16" xfId="0" applyNumberFormat="1" applyFont="1" applyFill="1" applyBorder="1"/>
    <xf numFmtId="172" fontId="7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0" fillId="0" borderId="0" xfId="0" applyFill="1"/>
    <xf numFmtId="2" fontId="3" fillId="0" borderId="0" xfId="0" applyNumberFormat="1" applyFont="1"/>
    <xf numFmtId="41" fontId="3" fillId="0" borderId="18" xfId="0" applyNumberFormat="1" applyFont="1" applyFill="1" applyBorder="1" applyAlignment="1"/>
    <xf numFmtId="0" fontId="3" fillId="0" borderId="1" xfId="0" applyNumberFormat="1" applyFont="1" applyFill="1" applyBorder="1" applyAlignment="1">
      <alignment horizontal="right"/>
    </xf>
    <xf numFmtId="0" fontId="19" fillId="0" borderId="2" xfId="0" applyNumberFormat="1" applyFont="1" applyFill="1" applyBorder="1" applyAlignment="1"/>
    <xf numFmtId="41" fontId="19" fillId="0" borderId="19" xfId="0" applyNumberFormat="1" applyFont="1" applyFill="1" applyBorder="1" applyAlignment="1"/>
    <xf numFmtId="0" fontId="19" fillId="0" borderId="0" xfId="0" applyNumberFormat="1" applyFont="1" applyFill="1" applyBorder="1" applyAlignment="1"/>
    <xf numFmtId="166" fontId="19" fillId="0" borderId="3" xfId="0" applyNumberFormat="1" applyFont="1" applyFill="1" applyBorder="1" applyAlignment="1">
      <alignment horizontal="left"/>
    </xf>
    <xf numFmtId="41" fontId="19" fillId="0" borderId="2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41" fontId="19" fillId="0" borderId="7" xfId="0" applyNumberFormat="1" applyFont="1" applyFill="1" applyBorder="1" applyAlignment="1"/>
    <xf numFmtId="0" fontId="19" fillId="0" borderId="4" xfId="0" applyNumberFormat="1" applyFont="1" applyFill="1" applyBorder="1" applyAlignment="1">
      <alignment horizontal="center"/>
    </xf>
    <xf numFmtId="166" fontId="19" fillId="0" borderId="21" xfId="0" applyNumberFormat="1" applyFont="1" applyFill="1" applyBorder="1" applyAlignment="1">
      <alignment horizontal="left"/>
    </xf>
    <xf numFmtId="0" fontId="20" fillId="0" borderId="22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166" fontId="20" fillId="0" borderId="6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166" fontId="21" fillId="0" borderId="0" xfId="0" applyNumberFormat="1" applyFont="1" applyFill="1" applyBorder="1" applyAlignment="1">
      <alignment horizontal="left"/>
    </xf>
    <xf numFmtId="165" fontId="1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41" fontId="3" fillId="3" borderId="18" xfId="0" applyNumberFormat="1" applyFont="1" applyFill="1" applyBorder="1" applyAlignment="1"/>
    <xf numFmtId="167" fontId="5" fillId="4" borderId="8" xfId="0" applyNumberFormat="1" applyFont="1" applyFill="1" applyBorder="1"/>
    <xf numFmtId="168" fontId="5" fillId="4" borderId="9" xfId="0" applyNumberFormat="1" applyFont="1" applyFill="1" applyBorder="1"/>
    <xf numFmtId="0" fontId="1" fillId="0" borderId="18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3" fillId="0" borderId="20" xfId="0" applyFont="1" applyFill="1" applyBorder="1" applyAlignment="1">
      <alignment horizontal="center"/>
    </xf>
    <xf numFmtId="164" fontId="22" fillId="3" borderId="0" xfId="0" applyNumberFormat="1" applyFont="1" applyFill="1" applyBorder="1"/>
    <xf numFmtId="0" fontId="1" fillId="0" borderId="3" xfId="0" applyFont="1" applyFill="1" applyBorder="1"/>
    <xf numFmtId="165" fontId="2" fillId="0" borderId="20" xfId="0" applyNumberFormat="1" applyFont="1" applyFill="1" applyBorder="1"/>
    <xf numFmtId="164" fontId="1" fillId="0" borderId="23" xfId="0" applyNumberFormat="1" applyFont="1" applyFill="1" applyBorder="1"/>
    <xf numFmtId="165" fontId="4" fillId="3" borderId="20" xfId="0" applyNumberFormat="1" applyFont="1" applyFill="1" applyBorder="1"/>
    <xf numFmtId="41" fontId="1" fillId="0" borderId="24" xfId="0" applyNumberFormat="1" applyFont="1" applyFill="1" applyBorder="1"/>
    <xf numFmtId="164" fontId="1" fillId="0" borderId="24" xfId="0" applyNumberFormat="1" applyFont="1" applyFill="1" applyBorder="1"/>
    <xf numFmtId="41" fontId="1" fillId="0" borderId="0" xfId="0" applyNumberFormat="1" applyFont="1" applyFill="1" applyBorder="1"/>
    <xf numFmtId="164" fontId="1" fillId="0" borderId="0" xfId="0" applyNumberFormat="1" applyFont="1" applyFill="1" applyBorder="1"/>
    <xf numFmtId="0" fontId="5" fillId="0" borderId="3" xfId="0" applyNumberFormat="1" applyFont="1" applyFill="1" applyBorder="1" applyAlignment="1"/>
    <xf numFmtId="165" fontId="4" fillId="0" borderId="20" xfId="0" applyNumberFormat="1" applyFont="1" applyFill="1" applyBorder="1"/>
    <xf numFmtId="41" fontId="1" fillId="0" borderId="4" xfId="0" applyNumberFormat="1" applyFont="1" applyFill="1" applyBorder="1"/>
    <xf numFmtId="164" fontId="1" fillId="0" borderId="4" xfId="0" applyNumberFormat="1" applyFont="1" applyFill="1" applyBorder="1"/>
    <xf numFmtId="0" fontId="5" fillId="0" borderId="3" xfId="0" applyNumberFormat="1" applyFont="1" applyFill="1" applyBorder="1" applyAlignment="1">
      <alignment horizontal="left" indent="1"/>
    </xf>
    <xf numFmtId="0" fontId="5" fillId="0" borderId="3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3" fillId="0" borderId="3" xfId="0" applyFont="1" applyFill="1" applyBorder="1"/>
    <xf numFmtId="0" fontId="1" fillId="0" borderId="22" xfId="0" applyFont="1" applyFill="1" applyBorder="1"/>
    <xf numFmtId="0" fontId="1" fillId="0" borderId="5" xfId="0" applyFont="1" applyFill="1" applyBorder="1"/>
    <xf numFmtId="0" fontId="23" fillId="0" borderId="6" xfId="0" applyFont="1" applyFill="1" applyBorder="1"/>
    <xf numFmtId="43" fontId="1" fillId="0" borderId="0" xfId="0" applyNumberFormat="1" applyFont="1" applyFill="1"/>
    <xf numFmtId="44" fontId="1" fillId="0" borderId="0" xfId="0" applyNumberFormat="1" applyFont="1" applyFill="1"/>
    <xf numFmtId="167" fontId="5" fillId="0" borderId="0" xfId="0" applyNumberFormat="1" applyFont="1" applyFill="1"/>
    <xf numFmtId="165" fontId="1" fillId="0" borderId="0" xfId="0" applyNumberFormat="1" applyFont="1" applyFill="1"/>
    <xf numFmtId="169" fontId="1" fillId="0" borderId="0" xfId="0" applyNumberFormat="1" applyFont="1" applyFill="1"/>
    <xf numFmtId="169" fontId="5" fillId="0" borderId="12" xfId="0" applyNumberFormat="1" applyFont="1" applyFill="1" applyBorder="1" applyAlignment="1"/>
    <xf numFmtId="169" fontId="5" fillId="2" borderId="9" xfId="0" applyNumberFormat="1" applyFont="1" applyFill="1" applyBorder="1" applyAlignment="1"/>
    <xf numFmtId="164" fontId="1" fillId="0" borderId="0" xfId="0" applyNumberFormat="1" applyFont="1" applyFill="1"/>
    <xf numFmtId="41" fontId="1" fillId="0" borderId="0" xfId="0" applyNumberFormat="1" applyFont="1" applyFill="1"/>
    <xf numFmtId="170" fontId="8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/>
    <xf numFmtId="0" fontId="8" fillId="0" borderId="0" xfId="0" applyNumberFormat="1" applyFont="1" applyFill="1" applyBorder="1" applyAlignment="1">
      <alignment horizontal="center"/>
    </xf>
    <xf numFmtId="44" fontId="7" fillId="0" borderId="13" xfId="0" applyNumberFormat="1" applyFont="1" applyFill="1" applyBorder="1" applyAlignment="1">
      <alignment horizontal="centerContinuous"/>
    </xf>
    <xf numFmtId="0" fontId="1" fillId="0" borderId="12" xfId="0" applyFont="1" applyFill="1" applyBorder="1" applyAlignment="1">
      <alignment horizontal="center"/>
    </xf>
    <xf numFmtId="164" fontId="5" fillId="5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0" fontId="5" fillId="6" borderId="0" xfId="0" applyNumberFormat="1" applyFont="1" applyFill="1" applyBorder="1" applyAlignment="1"/>
    <xf numFmtId="0" fontId="5" fillId="6" borderId="0" xfId="0" applyNumberFormat="1" applyFont="1" applyFill="1" applyBorder="1" applyAlignment="1">
      <alignment vertical="top"/>
    </xf>
    <xf numFmtId="164" fontId="5" fillId="6" borderId="0" xfId="0" applyNumberFormat="1" applyFont="1" applyFill="1" applyBorder="1" applyAlignment="1"/>
    <xf numFmtId="167" fontId="26" fillId="0" borderId="8" xfId="0" applyNumberFormat="1" applyFont="1" applyFill="1" applyBorder="1"/>
    <xf numFmtId="164" fontId="0" fillId="0" borderId="0" xfId="1" applyNumberFormat="1" applyFont="1" applyFill="1"/>
    <xf numFmtId="0" fontId="28" fillId="0" borderId="0" xfId="2" applyFont="1"/>
    <xf numFmtId="0" fontId="29" fillId="0" borderId="0" xfId="2" applyFont="1" applyFill="1"/>
    <xf numFmtId="0" fontId="30" fillId="0" borderId="0" xfId="2" applyFont="1" applyFill="1" applyAlignment="1">
      <alignment horizontal="left"/>
    </xf>
    <xf numFmtId="0" fontId="31" fillId="0" borderId="0" xfId="2" quotePrefix="1" applyFont="1" applyFill="1" applyBorder="1" applyAlignment="1">
      <alignment horizontal="right" vertical="center" wrapText="1"/>
    </xf>
    <xf numFmtId="164" fontId="26" fillId="0" borderId="0" xfId="2" applyNumberFormat="1" applyFont="1" applyFill="1"/>
    <xf numFmtId="0" fontId="26" fillId="0" borderId="0" xfId="2" quotePrefix="1" applyFont="1" applyFill="1" applyBorder="1" applyAlignment="1">
      <alignment horizontal="center" wrapText="1"/>
    </xf>
    <xf numFmtId="0" fontId="26" fillId="0" borderId="0" xfId="2" applyFont="1" applyFill="1" applyBorder="1" applyAlignment="1">
      <alignment horizontal="center" wrapText="1"/>
    </xf>
    <xf numFmtId="0" fontId="26" fillId="0" borderId="0" xfId="2" applyFont="1" applyFill="1" applyBorder="1"/>
    <xf numFmtId="0" fontId="26" fillId="0" borderId="0" xfId="2" applyFont="1" applyFill="1" applyBorder="1" applyAlignment="1"/>
    <xf numFmtId="176" fontId="30" fillId="0" borderId="25" xfId="2" applyNumberFormat="1" applyFont="1" applyFill="1" applyBorder="1" applyAlignment="1"/>
    <xf numFmtId="0" fontId="30" fillId="0" borderId="26" xfId="2" applyFont="1" applyFill="1" applyBorder="1" applyAlignment="1"/>
    <xf numFmtId="0" fontId="30" fillId="0" borderId="26" xfId="2" quotePrefix="1" applyFont="1" applyFill="1" applyBorder="1" applyAlignment="1">
      <alignment horizontal="left"/>
    </xf>
    <xf numFmtId="0" fontId="30" fillId="0" borderId="27" xfId="2" applyFont="1" applyFill="1" applyBorder="1" applyAlignment="1">
      <alignment horizontal="center"/>
    </xf>
    <xf numFmtId="164" fontId="26" fillId="0" borderId="0" xfId="2" applyNumberFormat="1" applyFont="1" applyFill="1" applyBorder="1" applyAlignment="1"/>
    <xf numFmtId="0" fontId="26" fillId="0" borderId="0" xfId="2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 wrapText="1"/>
    </xf>
    <xf numFmtId="176" fontId="30" fillId="0" borderId="25" xfId="2" applyNumberFormat="1" applyFont="1" applyFill="1" applyBorder="1" applyAlignment="1">
      <alignment horizontal="right" wrapText="1"/>
    </xf>
    <xf numFmtId="0" fontId="30" fillId="0" borderId="26" xfId="2" applyFont="1" applyFill="1" applyBorder="1" applyAlignment="1">
      <alignment wrapText="1"/>
    </xf>
    <xf numFmtId="164" fontId="26" fillId="0" borderId="0" xfId="2" applyNumberFormat="1" applyFont="1" applyFill="1" applyBorder="1" applyAlignment="1">
      <alignment horizontal="right" wrapText="1"/>
    </xf>
    <xf numFmtId="0" fontId="26" fillId="0" borderId="0" xfId="2" applyFont="1" applyFill="1" applyBorder="1" applyAlignment="1">
      <alignment wrapText="1"/>
    </xf>
    <xf numFmtId="3" fontId="26" fillId="0" borderId="0" xfId="2" applyNumberFormat="1" applyFont="1" applyFill="1" applyBorder="1"/>
    <xf numFmtId="164" fontId="26" fillId="0" borderId="0" xfId="2" applyNumberFormat="1" applyFont="1" applyFill="1" applyBorder="1" applyAlignment="1">
      <alignment wrapText="1"/>
    </xf>
    <xf numFmtId="0" fontId="26" fillId="0" borderId="0" xfId="2" quotePrefix="1" applyFont="1" applyFill="1" applyBorder="1" applyAlignment="1">
      <alignment horizontal="left" wrapText="1"/>
    </xf>
    <xf numFmtId="0" fontId="26" fillId="0" borderId="0" xfId="2" quotePrefix="1" applyFont="1" applyFill="1" applyBorder="1" applyAlignment="1">
      <alignment horizontal="left"/>
    </xf>
    <xf numFmtId="0" fontId="28" fillId="0" borderId="0" xfId="2" applyFont="1" applyAlignment="1">
      <alignment horizontal="center"/>
    </xf>
    <xf numFmtId="0" fontId="26" fillId="0" borderId="0" xfId="2" quotePrefix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right" vertical="center" wrapText="1"/>
    </xf>
    <xf numFmtId="0" fontId="31" fillId="0" borderId="0" xfId="2" applyFont="1" applyFill="1" applyBorder="1" applyAlignment="1">
      <alignment horizontal="right" vertical="center" wrapText="1"/>
    </xf>
    <xf numFmtId="0" fontId="31" fillId="0" borderId="0" xfId="2" applyFont="1" applyFill="1" applyBorder="1" applyAlignment="1">
      <alignment vertical="center" wrapText="1"/>
    </xf>
    <xf numFmtId="0" fontId="30" fillId="0" borderId="12" xfId="2" applyFont="1" applyFill="1" applyBorder="1" applyAlignment="1">
      <alignment horizontal="center" wrapText="1"/>
    </xf>
    <xf numFmtId="0" fontId="26" fillId="0" borderId="0" xfId="2" applyFont="1" applyFill="1"/>
    <xf numFmtId="0" fontId="30" fillId="0" borderId="28" xfId="2" applyFont="1" applyFill="1" applyBorder="1" applyAlignment="1">
      <alignment horizontal="center"/>
    </xf>
    <xf numFmtId="0" fontId="26" fillId="0" borderId="0" xfId="2" applyFont="1" applyFill="1" applyAlignment="1"/>
    <xf numFmtId="0" fontId="26" fillId="0" borderId="0" xfId="2" applyFont="1" applyFill="1" applyAlignment="1">
      <alignment horizontal="center"/>
    </xf>
    <xf numFmtId="0" fontId="26" fillId="0" borderId="0" xfId="2" quotePrefix="1" applyFont="1" applyFill="1" applyAlignment="1">
      <alignment horizontal="center"/>
    </xf>
    <xf numFmtId="0" fontId="30" fillId="0" borderId="0" xfId="2" applyFont="1" applyFill="1" applyAlignment="1">
      <alignment horizontal="center"/>
    </xf>
    <xf numFmtId="41" fontId="7" fillId="0" borderId="0" xfId="0" applyNumberFormat="1" applyFont="1"/>
    <xf numFmtId="167" fontId="26" fillId="0" borderId="12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 applyBorder="1"/>
    <xf numFmtId="2" fontId="36" fillId="0" borderId="0" xfId="0" applyNumberFormat="1" applyFont="1" applyFill="1" applyBorder="1" applyAlignment="1">
      <alignment horizontal="left"/>
    </xf>
    <xf numFmtId="0" fontId="21" fillId="0" borderId="0" xfId="0" applyFont="1" applyFill="1" applyBorder="1"/>
    <xf numFmtId="0" fontId="21" fillId="0" borderId="0" xfId="0" applyFont="1"/>
    <xf numFmtId="165" fontId="21" fillId="0" borderId="0" xfId="0" applyNumberFormat="1" applyFont="1"/>
    <xf numFmtId="41" fontId="0" fillId="0" borderId="0" xfId="1" applyNumberFormat="1" applyFont="1"/>
    <xf numFmtId="166" fontId="7" fillId="0" borderId="0" xfId="6">
      <alignment horizontal="left" wrapText="1"/>
    </xf>
    <xf numFmtId="164" fontId="10" fillId="9" borderId="29" xfId="6" applyNumberFormat="1" applyFont="1" applyFill="1" applyBorder="1" applyAlignment="1"/>
    <xf numFmtId="164" fontId="10" fillId="9" borderId="16" xfId="6" applyNumberFormat="1" applyFont="1" applyFill="1" applyBorder="1" applyAlignment="1"/>
    <xf numFmtId="0" fontId="27" fillId="9" borderId="12" xfId="6" applyNumberFormat="1" applyFont="1" applyFill="1" applyBorder="1" applyAlignment="1">
      <alignment horizontal="left"/>
    </xf>
    <xf numFmtId="166" fontId="38" fillId="9" borderId="9" xfId="6" applyFont="1" applyFill="1" applyBorder="1" applyAlignment="1">
      <alignment horizontal="left"/>
    </xf>
    <xf numFmtId="164" fontId="39" fillId="9" borderId="10" xfId="6" applyNumberFormat="1" applyFont="1" applyFill="1" applyBorder="1" applyAlignment="1"/>
    <xf numFmtId="164" fontId="7" fillId="9" borderId="30" xfId="6" applyNumberFormat="1" applyFont="1" applyFill="1" applyBorder="1" applyAlignment="1"/>
    <xf numFmtId="164" fontId="40" fillId="9" borderId="11" xfId="6" applyNumberFormat="1" applyFont="1" applyFill="1" applyBorder="1" applyAlignment="1"/>
    <xf numFmtId="0" fontId="27" fillId="9" borderId="0" xfId="6" applyNumberFormat="1" applyFont="1" applyFill="1" applyBorder="1" applyAlignment="1"/>
    <xf numFmtId="0" fontId="37" fillId="9" borderId="11" xfId="6" applyNumberFormat="1" applyFont="1" applyFill="1" applyBorder="1" applyAlignment="1">
      <alignment horizontal="left"/>
    </xf>
    <xf numFmtId="166" fontId="41" fillId="7" borderId="0" xfId="4" applyNumberFormat="1" applyFont="1" applyAlignment="1">
      <alignment horizontal="left" wrapText="1"/>
    </xf>
    <xf numFmtId="166" fontId="41" fillId="7" borderId="0" xfId="4" applyNumberFormat="1" applyFont="1" applyAlignment="1">
      <alignment horizontal="left"/>
    </xf>
    <xf numFmtId="42" fontId="42" fillId="9" borderId="31" xfId="6" applyNumberFormat="1" applyFont="1" applyFill="1" applyBorder="1" applyAlignment="1"/>
    <xf numFmtId="42" fontId="34" fillId="9" borderId="32" xfId="6" applyNumberFormat="1" applyFont="1" applyFill="1" applyBorder="1" applyAlignment="1"/>
    <xf numFmtId="42" fontId="43" fillId="9" borderId="33" xfId="6" applyNumberFormat="1" applyFont="1" applyFill="1" applyBorder="1" applyAlignment="1"/>
    <xf numFmtId="0" fontId="44" fillId="9" borderId="34" xfId="6" applyNumberFormat="1" applyFont="1" applyFill="1" applyBorder="1" applyAlignment="1"/>
    <xf numFmtId="42" fontId="10" fillId="9" borderId="10" xfId="6" applyNumberFormat="1" applyFont="1" applyFill="1" applyBorder="1" applyAlignment="1"/>
    <xf numFmtId="42" fontId="10" fillId="9" borderId="30" xfId="6" applyNumberFormat="1" applyFont="1" applyFill="1" applyBorder="1" applyAlignment="1"/>
    <xf numFmtId="42" fontId="45" fillId="9" borderId="11" xfId="6" applyNumberFormat="1" applyFont="1" applyFill="1" applyBorder="1" applyAlignment="1"/>
    <xf numFmtId="1" fontId="38" fillId="9" borderId="11" xfId="6" applyNumberFormat="1" applyFont="1" applyFill="1" applyBorder="1" applyAlignment="1">
      <alignment horizontal="left"/>
    </xf>
    <xf numFmtId="166" fontId="38" fillId="9" borderId="11" xfId="6" applyFont="1" applyFill="1" applyBorder="1" applyAlignment="1">
      <alignment horizontal="left"/>
    </xf>
    <xf numFmtId="0" fontId="27" fillId="9" borderId="4" xfId="6" applyNumberFormat="1" applyFont="1" applyFill="1" applyBorder="1" applyAlignment="1"/>
    <xf numFmtId="166" fontId="46" fillId="9" borderId="29" xfId="6" applyFont="1" applyFill="1" applyBorder="1" applyAlignment="1">
      <alignment horizontal="center" wrapText="1"/>
    </xf>
    <xf numFmtId="166" fontId="46" fillId="9" borderId="16" xfId="6" applyFont="1" applyFill="1" applyBorder="1" applyAlignment="1">
      <alignment horizontal="center" wrapText="1"/>
    </xf>
    <xf numFmtId="166" fontId="43" fillId="9" borderId="35" xfId="6" applyFont="1" applyFill="1" applyBorder="1" applyAlignment="1">
      <alignment horizontal="center" wrapText="1"/>
    </xf>
    <xf numFmtId="0" fontId="38" fillId="9" borderId="4" xfId="6" applyNumberFormat="1" applyFont="1" applyFill="1" applyBorder="1" applyAlignment="1">
      <alignment horizontal="center"/>
    </xf>
    <xf numFmtId="0" fontId="38" fillId="9" borderId="35" xfId="6" applyNumberFormat="1" applyFont="1" applyFill="1" applyBorder="1" applyAlignment="1">
      <alignment horizontal="left"/>
    </xf>
    <xf numFmtId="0" fontId="47" fillId="0" borderId="0" xfId="6" applyNumberFormat="1" applyFont="1" applyFill="1" applyBorder="1" applyAlignment="1">
      <alignment horizontal="center"/>
    </xf>
    <xf numFmtId="166" fontId="35" fillId="8" borderId="0" xfId="5" applyNumberFormat="1" applyAlignment="1">
      <alignment horizontal="left" wrapText="1"/>
    </xf>
    <xf numFmtId="166" fontId="35" fillId="8" borderId="0" xfId="5" applyNumberFormat="1" applyAlignment="1">
      <alignment horizontal="left"/>
    </xf>
    <xf numFmtId="165" fontId="35" fillId="8" borderId="0" xfId="5" applyNumberFormat="1" applyAlignment="1">
      <alignment horizontal="left" wrapText="1"/>
    </xf>
    <xf numFmtId="166" fontId="35" fillId="8" borderId="0" xfId="5" applyNumberFormat="1" applyAlignment="1">
      <alignment horizontal="right" wrapText="1"/>
    </xf>
    <xf numFmtId="43" fontId="35" fillId="8" borderId="0" xfId="5" applyNumberFormat="1" applyAlignment="1">
      <alignment horizontal="left" wrapText="1"/>
    </xf>
    <xf numFmtId="0" fontId="48" fillId="0" borderId="0" xfId="6" applyNumberFormat="1" applyFont="1" applyFill="1" applyBorder="1" applyAlignment="1"/>
    <xf numFmtId="0" fontId="49" fillId="0" borderId="0" xfId="6" applyNumberFormat="1" applyFont="1" applyFill="1" applyBorder="1" applyAlignment="1"/>
    <xf numFmtId="0" fontId="47" fillId="0" borderId="0" xfId="6" applyNumberFormat="1" applyFont="1" applyFill="1" applyBorder="1" applyAlignment="1">
      <alignment horizontal="left"/>
    </xf>
    <xf numFmtId="164" fontId="50" fillId="0" borderId="0" xfId="7" applyNumberFormat="1" applyFont="1" applyAlignment="1"/>
    <xf numFmtId="42" fontId="48" fillId="0" borderId="0" xfId="6" applyNumberFormat="1" applyFont="1" applyFill="1" applyBorder="1" applyAlignment="1"/>
    <xf numFmtId="44" fontId="48" fillId="0" borderId="0" xfId="6" applyNumberFormat="1" applyFont="1" applyFill="1" applyBorder="1" applyAlignment="1"/>
    <xf numFmtId="166" fontId="7" fillId="0" borderId="0" xfId="6" applyFont="1" applyBorder="1" applyAlignment="1"/>
    <xf numFmtId="0" fontId="39" fillId="0" borderId="0" xfId="6" applyNumberFormat="1" applyFont="1" applyFill="1" applyBorder="1" applyAlignment="1">
      <alignment horizontal="left"/>
    </xf>
    <xf numFmtId="164" fontId="7" fillId="0" borderId="0" xfId="6" applyNumberFormat="1" applyFont="1" applyAlignment="1">
      <alignment horizontal="left" wrapText="1"/>
    </xf>
    <xf numFmtId="170" fontId="48" fillId="0" borderId="0" xfId="6" applyNumberFormat="1" applyFont="1" applyFill="1" applyBorder="1" applyAlignment="1"/>
    <xf numFmtId="0" fontId="39" fillId="0" borderId="0" xfId="6" applyNumberFormat="1" applyFont="1" applyFill="1" applyBorder="1" applyAlignment="1"/>
    <xf numFmtId="177" fontId="7" fillId="0" borderId="0" xfId="6" applyNumberFormat="1" applyAlignment="1">
      <alignment horizontal="right" wrapText="1"/>
    </xf>
    <xf numFmtId="164" fontId="0" fillId="0" borderId="0" xfId="7" applyNumberFormat="1" applyFont="1" applyAlignment="1">
      <alignment horizontal="left" wrapText="1"/>
    </xf>
    <xf numFmtId="43" fontId="7" fillId="0" borderId="0" xfId="6" applyNumberFormat="1" applyFont="1" applyAlignment="1">
      <alignment horizontal="center"/>
    </xf>
    <xf numFmtId="170" fontId="7" fillId="0" borderId="0" xfId="6" applyNumberFormat="1" applyFont="1" applyAlignment="1">
      <alignment horizontal="center"/>
    </xf>
    <xf numFmtId="166" fontId="7" fillId="0" borderId="0" xfId="6" applyFont="1" applyAlignment="1"/>
    <xf numFmtId="164" fontId="10" fillId="0" borderId="29" xfId="6" applyNumberFormat="1" applyFont="1" applyFill="1" applyBorder="1" applyAlignment="1"/>
    <xf numFmtId="164" fontId="10" fillId="0" borderId="16" xfId="6" applyNumberFormat="1" applyFont="1" applyBorder="1" applyAlignment="1"/>
    <xf numFmtId="0" fontId="27" fillId="0" borderId="12" xfId="6" applyNumberFormat="1" applyFont="1" applyFill="1" applyBorder="1" applyAlignment="1">
      <alignment horizontal="left"/>
    </xf>
    <xf numFmtId="166" fontId="38" fillId="0" borderId="9" xfId="6" applyFont="1" applyFill="1" applyBorder="1" applyAlignment="1">
      <alignment horizontal="left"/>
    </xf>
    <xf numFmtId="164" fontId="51" fillId="0" borderId="0" xfId="7" applyNumberFormat="1" applyFont="1" applyAlignment="1">
      <alignment horizontal="left" wrapText="1"/>
    </xf>
    <xf numFmtId="164" fontId="39" fillId="0" borderId="10" xfId="6" applyNumberFormat="1" applyFont="1" applyBorder="1" applyAlignment="1"/>
    <xf numFmtId="164" fontId="7" fillId="0" borderId="30" xfId="6" applyNumberFormat="1" applyFont="1" applyBorder="1" applyAlignment="1"/>
    <xf numFmtId="164" fontId="40" fillId="0" borderId="11" xfId="6" applyNumberFormat="1" applyFont="1" applyBorder="1" applyAlignment="1"/>
    <xf numFmtId="0" fontId="27" fillId="0" borderId="0" xfId="6" applyNumberFormat="1" applyFont="1" applyFill="1" applyBorder="1" applyAlignment="1"/>
    <xf numFmtId="0" fontId="37" fillId="0" borderId="11" xfId="6" applyNumberFormat="1" applyFont="1" applyFill="1" applyBorder="1" applyAlignment="1">
      <alignment horizontal="left"/>
    </xf>
    <xf numFmtId="42" fontId="42" fillId="0" borderId="31" xfId="6" applyNumberFormat="1" applyFont="1" applyBorder="1" applyAlignment="1"/>
    <xf numFmtId="42" fontId="34" fillId="0" borderId="32" xfId="6" applyNumberFormat="1" applyFont="1" applyBorder="1" applyAlignment="1"/>
    <xf numFmtId="42" fontId="43" fillId="0" borderId="33" xfId="6" applyNumberFormat="1" applyFont="1" applyBorder="1" applyAlignment="1"/>
    <xf numFmtId="0" fontId="44" fillId="0" borderId="34" xfId="6" applyNumberFormat="1" applyFont="1" applyFill="1" applyBorder="1" applyAlignment="1"/>
    <xf numFmtId="166" fontId="7" fillId="0" borderId="0" xfId="6" applyAlignment="1">
      <alignment horizontal="left"/>
    </xf>
    <xf numFmtId="42" fontId="10" fillId="0" borderId="10" xfId="6" applyNumberFormat="1" applyFont="1" applyBorder="1" applyAlignment="1"/>
    <xf numFmtId="42" fontId="10" fillId="0" borderId="30" xfId="6" applyNumberFormat="1" applyFont="1" applyBorder="1" applyAlignment="1"/>
    <xf numFmtId="42" fontId="45" fillId="0" borderId="11" xfId="6" applyNumberFormat="1" applyFont="1" applyBorder="1" applyAlignment="1"/>
    <xf numFmtId="165" fontId="0" fillId="0" borderId="0" xfId="8" applyNumberFormat="1" applyFont="1" applyAlignment="1">
      <alignment horizontal="left" wrapText="1"/>
    </xf>
    <xf numFmtId="1" fontId="38" fillId="0" borderId="11" xfId="6" applyNumberFormat="1" applyFont="1" applyFill="1" applyBorder="1" applyAlignment="1">
      <alignment horizontal="left"/>
    </xf>
    <xf numFmtId="177" fontId="7" fillId="0" borderId="0" xfId="6" applyNumberFormat="1" applyAlignment="1">
      <alignment horizontal="center" wrapText="1"/>
    </xf>
    <xf numFmtId="177" fontId="7" fillId="2" borderId="0" xfId="6" applyNumberFormat="1" applyFill="1" applyAlignment="1">
      <alignment horizontal="center" wrapText="1"/>
    </xf>
    <xf numFmtId="42" fontId="10" fillId="2" borderId="30" xfId="6" applyNumberFormat="1" applyFont="1" applyFill="1" applyBorder="1" applyAlignment="1"/>
    <xf numFmtId="166" fontId="51" fillId="0" borderId="0" xfId="6" applyFont="1" applyAlignment="1">
      <alignment horizontal="center"/>
    </xf>
    <xf numFmtId="166" fontId="38" fillId="0" borderId="11" xfId="6" applyFont="1" applyFill="1" applyBorder="1" applyAlignment="1">
      <alignment horizontal="left"/>
    </xf>
    <xf numFmtId="1" fontId="7" fillId="0" borderId="0" xfId="6" applyNumberFormat="1" applyAlignment="1">
      <alignment horizontal="center"/>
    </xf>
    <xf numFmtId="166" fontId="51" fillId="0" borderId="0" xfId="6" applyFont="1" applyAlignment="1">
      <alignment horizontal="left"/>
    </xf>
    <xf numFmtId="166" fontId="46" fillId="0" borderId="0" xfId="6" applyFont="1" applyFill="1" applyBorder="1" applyAlignment="1">
      <alignment horizontal="left"/>
    </xf>
    <xf numFmtId="0" fontId="27" fillId="0" borderId="4" xfId="6" applyNumberFormat="1" applyFont="1" applyFill="1" applyBorder="1" applyAlignment="1"/>
    <xf numFmtId="166" fontId="46" fillId="0" borderId="29" xfId="6" applyFont="1" applyFill="1" applyBorder="1" applyAlignment="1">
      <alignment horizontal="center" wrapText="1"/>
    </xf>
    <xf numFmtId="166" fontId="46" fillId="0" borderId="16" xfId="6" applyFont="1" applyFill="1" applyBorder="1" applyAlignment="1">
      <alignment horizontal="center" wrapText="1"/>
    </xf>
    <xf numFmtId="166" fontId="43" fillId="0" borderId="35" xfId="6" applyFont="1" applyFill="1" applyBorder="1" applyAlignment="1">
      <alignment horizontal="center" wrapText="1"/>
    </xf>
    <xf numFmtId="0" fontId="38" fillId="0" borderId="4" xfId="6" applyNumberFormat="1" applyFont="1" applyBorder="1" applyAlignment="1">
      <alignment horizontal="center"/>
    </xf>
    <xf numFmtId="0" fontId="38" fillId="0" borderId="35" xfId="6" applyNumberFormat="1" applyFont="1" applyBorder="1" applyAlignment="1">
      <alignment horizontal="left"/>
    </xf>
    <xf numFmtId="0" fontId="10" fillId="0" borderId="0" xfId="6" applyNumberFormat="1" applyFont="1" applyBorder="1" applyAlignment="1">
      <alignment horizontal="center"/>
    </xf>
    <xf numFmtId="166" fontId="7" fillId="0" borderId="0" xfId="6" applyFont="1" applyAlignment="1">
      <alignment horizontal="centerContinuous"/>
    </xf>
    <xf numFmtId="0" fontId="52" fillId="0" borderId="0" xfId="6" applyNumberFormat="1" applyFont="1" applyAlignment="1">
      <alignment horizontal="center"/>
    </xf>
    <xf numFmtId="166" fontId="7" fillId="0" borderId="0" xfId="6" applyFont="1" applyFill="1" applyAlignment="1">
      <alignment horizontal="centerContinuous"/>
    </xf>
    <xf numFmtId="166" fontId="32" fillId="7" borderId="0" xfId="4" applyNumberFormat="1" applyAlignment="1">
      <alignment horizontal="left" wrapText="1"/>
    </xf>
    <xf numFmtId="0" fontId="53" fillId="7" borderId="0" xfId="4" applyNumberFormat="1" applyFont="1" applyAlignment="1">
      <alignment horizontal="center"/>
    </xf>
    <xf numFmtId="0" fontId="53" fillId="7" borderId="0" xfId="4" applyNumberFormat="1" applyFont="1" applyAlignment="1">
      <alignment horizontal="left"/>
    </xf>
    <xf numFmtId="166" fontId="54" fillId="0" borderId="0" xfId="6" applyFont="1" applyFill="1" applyAlignment="1">
      <alignment horizontal="left"/>
    </xf>
    <xf numFmtId="166" fontId="55" fillId="0" borderId="0" xfId="6" applyFont="1" applyAlignment="1"/>
    <xf numFmtId="166" fontId="52" fillId="0" borderId="0" xfId="6" applyFont="1" applyAlignment="1">
      <alignment horizontal="left"/>
    </xf>
    <xf numFmtId="41" fontId="0" fillId="0" borderId="0" xfId="1" applyNumberFormat="1" applyFont="1" applyFill="1"/>
    <xf numFmtId="3" fontId="56" fillId="0" borderId="0" xfId="0" applyNumberFormat="1" applyFont="1" applyFill="1"/>
    <xf numFmtId="0" fontId="0" fillId="0" borderId="0" xfId="0" applyFill="1" applyAlignment="1">
      <alignment horizontal="left" indent="2"/>
    </xf>
    <xf numFmtId="0" fontId="0" fillId="10" borderId="0" xfId="0" applyFill="1"/>
    <xf numFmtId="0" fontId="34" fillId="10" borderId="0" xfId="0" applyFont="1" applyFill="1" applyAlignment="1">
      <alignment horizontal="center"/>
    </xf>
    <xf numFmtId="0" fontId="34" fillId="10" borderId="12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42" fontId="0" fillId="10" borderId="0" xfId="3" applyNumberFormat="1" applyFont="1" applyFill="1"/>
    <xf numFmtId="41" fontId="0" fillId="10" borderId="0" xfId="1" applyNumberFormat="1" applyFont="1" applyFill="1"/>
    <xf numFmtId="41" fontId="0" fillId="10" borderId="4" xfId="1" applyNumberFormat="1" applyFont="1" applyFill="1" applyBorder="1"/>
    <xf numFmtId="42" fontId="0" fillId="10" borderId="23" xfId="3" applyNumberFormat="1" applyFont="1" applyFill="1" applyBorder="1"/>
    <xf numFmtId="0" fontId="0" fillId="10" borderId="0" xfId="0" quotePrefix="1" applyFill="1"/>
    <xf numFmtId="0" fontId="0" fillId="10" borderId="0" xfId="0" applyFill="1" applyAlignment="1">
      <alignment horizontal="left" indent="2"/>
    </xf>
    <xf numFmtId="0" fontId="11" fillId="11" borderId="0" xfId="0" applyFont="1" applyFill="1" applyAlignment="1">
      <alignment horizontal="center"/>
    </xf>
    <xf numFmtId="0" fontId="1" fillId="11" borderId="0" xfId="0" applyFont="1" applyFill="1"/>
    <xf numFmtId="165" fontId="5" fillId="11" borderId="0" xfId="0" applyNumberFormat="1" applyFont="1" applyFill="1"/>
    <xf numFmtId="0" fontId="5" fillId="11" borderId="0" xfId="0" applyFont="1" applyFill="1"/>
    <xf numFmtId="41" fontId="5" fillId="11" borderId="0" xfId="0" applyNumberFormat="1" applyFont="1" applyFill="1"/>
    <xf numFmtId="165" fontId="5" fillId="11" borderId="4" xfId="0" applyNumberFormat="1" applyFont="1" applyFill="1" applyBorder="1"/>
    <xf numFmtId="10" fontId="5" fillId="11" borderId="0" xfId="0" applyNumberFormat="1" applyFont="1" applyFill="1" applyBorder="1" applyAlignment="1"/>
    <xf numFmtId="43" fontId="5" fillId="11" borderId="0" xfId="0" applyNumberFormat="1" applyFont="1" applyFill="1" applyBorder="1" applyAlignment="1">
      <alignment horizontal="right"/>
    </xf>
    <xf numFmtId="0" fontId="5" fillId="11" borderId="0" xfId="0" applyNumberFormat="1" applyFont="1" applyFill="1" applyBorder="1" applyAlignment="1">
      <alignment horizontal="center"/>
    </xf>
    <xf numFmtId="0" fontId="5" fillId="11" borderId="12" xfId="0" applyNumberFormat="1" applyFont="1" applyFill="1" applyBorder="1" applyAlignment="1">
      <alignment horizontal="center"/>
    </xf>
    <xf numFmtId="164" fontId="5" fillId="11" borderId="12" xfId="0" applyNumberFormat="1" applyFont="1" applyFill="1" applyBorder="1" applyAlignment="1">
      <alignment horizontal="center"/>
    </xf>
    <xf numFmtId="164" fontId="5" fillId="11" borderId="0" xfId="0" applyNumberFormat="1" applyFont="1" applyFill="1" applyBorder="1" applyAlignment="1">
      <alignment horizontal="center"/>
    </xf>
    <xf numFmtId="165" fontId="5" fillId="11" borderId="0" xfId="0" applyNumberFormat="1" applyFont="1" applyFill="1" applyBorder="1" applyAlignment="1"/>
    <xf numFmtId="169" fontId="5" fillId="11" borderId="0" xfId="0" applyNumberFormat="1" applyFont="1" applyFill="1" applyBorder="1" applyAlignment="1"/>
    <xf numFmtId="169" fontId="5" fillId="11" borderId="0" xfId="0" applyNumberFormat="1" applyFont="1" applyFill="1" applyBorder="1" applyAlignment="1">
      <alignment horizontal="center"/>
    </xf>
    <xf numFmtId="164" fontId="5" fillId="11" borderId="0" xfId="0" applyNumberFormat="1" applyFont="1" applyFill="1" applyBorder="1" applyAlignment="1"/>
    <xf numFmtId="164" fontId="7" fillId="11" borderId="0" xfId="0" applyNumberFormat="1" applyFont="1" applyFill="1" applyBorder="1" applyAlignment="1">
      <alignment horizontal="center"/>
    </xf>
    <xf numFmtId="165" fontId="5" fillId="11" borderId="7" xfId="0" applyNumberFormat="1" applyFont="1" applyFill="1" applyBorder="1" applyAlignment="1">
      <alignment vertical="center"/>
    </xf>
    <xf numFmtId="169" fontId="5" fillId="11" borderId="15" xfId="0" applyNumberFormat="1" applyFont="1" applyFill="1" applyBorder="1" applyAlignment="1">
      <alignment vertical="center"/>
    </xf>
    <xf numFmtId="169" fontId="5" fillId="11" borderId="4" xfId="0" applyNumberFormat="1" applyFont="1" applyFill="1" applyBorder="1" applyAlignment="1">
      <alignment vertical="center"/>
    </xf>
    <xf numFmtId="165" fontId="5" fillId="11" borderId="4" xfId="0" applyNumberFormat="1" applyFont="1" applyFill="1" applyBorder="1" applyAlignment="1">
      <alignment vertical="center"/>
    </xf>
    <xf numFmtId="173" fontId="5" fillId="11" borderId="12" xfId="0" applyNumberFormat="1" applyFont="1" applyFill="1" applyBorder="1" applyAlignment="1"/>
    <xf numFmtId="0" fontId="10" fillId="11" borderId="0" xfId="0" applyFont="1" applyFill="1"/>
    <xf numFmtId="170" fontId="5" fillId="11" borderId="0" xfId="0" applyNumberFormat="1" applyFont="1" applyFill="1" applyBorder="1" applyAlignment="1"/>
    <xf numFmtId="172" fontId="5" fillId="11" borderId="0" xfId="0" applyNumberFormat="1" applyFont="1" applyFill="1" applyBorder="1" applyAlignment="1"/>
    <xf numFmtId="165" fontId="5" fillId="11" borderId="4" xfId="0" applyNumberFormat="1" applyFont="1" applyFill="1" applyBorder="1" applyAlignment="1"/>
    <xf numFmtId="41" fontId="5" fillId="11" borderId="0" xfId="0" applyNumberFormat="1" applyFont="1" applyFill="1" applyBorder="1" applyAlignment="1"/>
    <xf numFmtId="41" fontId="9" fillId="11" borderId="0" xfId="0" applyNumberFormat="1" applyFont="1" applyFill="1" applyBorder="1" applyAlignment="1"/>
    <xf numFmtId="44" fontId="7" fillId="11" borderId="14" xfId="0" applyNumberFormat="1" applyFont="1" applyFill="1" applyBorder="1" applyAlignment="1">
      <alignment horizontal="centerContinuous"/>
    </xf>
    <xf numFmtId="171" fontId="7" fillId="11" borderId="13" xfId="0" applyNumberFormat="1" applyFont="1" applyFill="1" applyBorder="1" applyAlignment="1">
      <alignment horizontal="centerContinuous"/>
    </xf>
    <xf numFmtId="171" fontId="7" fillId="11" borderId="0" xfId="0" applyNumberFormat="1" applyFont="1" applyFill="1" applyBorder="1" applyAlignment="1"/>
    <xf numFmtId="0" fontId="0" fillId="11" borderId="0" xfId="0" applyFill="1"/>
    <xf numFmtId="170" fontId="8" fillId="11" borderId="11" xfId="0" applyNumberFormat="1" applyFont="1" applyFill="1" applyBorder="1" applyAlignment="1">
      <alignment horizontal="center"/>
    </xf>
    <xf numFmtId="170" fontId="8" fillId="11" borderId="10" xfId="0" applyNumberFormat="1" applyFont="1" applyFill="1" applyBorder="1" applyAlignment="1">
      <alignment horizontal="center"/>
    </xf>
    <xf numFmtId="170" fontId="8" fillId="11" borderId="0" xfId="0" applyNumberFormat="1" applyFont="1" applyFill="1" applyBorder="1" applyAlignment="1">
      <alignment horizontal="center"/>
    </xf>
    <xf numFmtId="0" fontId="8" fillId="11" borderId="11" xfId="0" applyNumberFormat="1" applyFont="1" applyFill="1" applyBorder="1" applyAlignment="1">
      <alignment horizontal="center"/>
    </xf>
    <xf numFmtId="0" fontId="8" fillId="11" borderId="10" xfId="0" applyNumberFormat="1" applyFont="1" applyFill="1" applyBorder="1" applyAlignment="1">
      <alignment horizontal="center"/>
    </xf>
    <xf numFmtId="170" fontId="8" fillId="11" borderId="11" xfId="0" applyNumberFormat="1" applyFont="1" applyFill="1" applyBorder="1" applyAlignment="1">
      <alignment horizontal="centerContinuous"/>
    </xf>
    <xf numFmtId="0" fontId="7" fillId="11" borderId="10" xfId="0" applyNumberFormat="1" applyFont="1" applyFill="1" applyBorder="1" applyAlignment="1">
      <alignment horizontal="centerContinuous"/>
    </xf>
    <xf numFmtId="164" fontId="0" fillId="11" borderId="0" xfId="1" applyNumberFormat="1" applyFont="1" applyFill="1"/>
    <xf numFmtId="169" fontId="5" fillId="11" borderId="11" xfId="0" applyNumberFormat="1" applyFont="1" applyFill="1" applyBorder="1" applyAlignment="1"/>
    <xf numFmtId="169" fontId="5" fillId="11" borderId="10" xfId="0" applyNumberFormat="1" applyFont="1" applyFill="1" applyBorder="1" applyAlignment="1"/>
    <xf numFmtId="169" fontId="5" fillId="11" borderId="9" xfId="0" applyNumberFormat="1" applyFont="1" applyFill="1" applyBorder="1" applyAlignment="1"/>
    <xf numFmtId="169" fontId="5" fillId="11" borderId="8" xfId="0" applyNumberFormat="1" applyFont="1" applyFill="1" applyBorder="1" applyAlignment="1"/>
    <xf numFmtId="169" fontId="7" fillId="11" borderId="0" xfId="0" applyNumberFormat="1" applyFont="1" applyFill="1" applyBorder="1" applyAlignment="1"/>
    <xf numFmtId="167" fontId="26" fillId="11" borderId="12" xfId="0" applyNumberFormat="1" applyFont="1" applyFill="1" applyBorder="1"/>
    <xf numFmtId="167" fontId="26" fillId="11" borderId="8" xfId="0" applyNumberFormat="1" applyFont="1" applyFill="1" applyBorder="1"/>
    <xf numFmtId="0" fontId="4" fillId="11" borderId="0" xfId="0" applyFont="1" applyFill="1" applyAlignment="1">
      <alignment horizontal="center"/>
    </xf>
    <xf numFmtId="0" fontId="0" fillId="11" borderId="0" xfId="0" applyFont="1" applyFill="1"/>
    <xf numFmtId="0" fontId="21" fillId="11" borderId="0" xfId="0" applyNumberFormat="1" applyFont="1" applyFill="1" applyBorder="1" applyAlignment="1"/>
    <xf numFmtId="0" fontId="19" fillId="11" borderId="0" xfId="0" applyNumberFormat="1" applyFont="1" applyFill="1" applyBorder="1" applyAlignment="1">
      <alignment horizontal="center"/>
    </xf>
    <xf numFmtId="0" fontId="20" fillId="11" borderId="5" xfId="0" applyNumberFormat="1" applyFont="1" applyFill="1" applyBorder="1" applyAlignment="1">
      <alignment horizontal="center"/>
    </xf>
    <xf numFmtId="0" fontId="20" fillId="11" borderId="22" xfId="0" applyNumberFormat="1" applyFont="1" applyFill="1" applyBorder="1" applyAlignment="1">
      <alignment horizontal="center"/>
    </xf>
    <xf numFmtId="0" fontId="19" fillId="11" borderId="4" xfId="0" applyNumberFormat="1" applyFont="1" applyFill="1" applyBorder="1" applyAlignment="1">
      <alignment horizontal="center"/>
    </xf>
    <xf numFmtId="41" fontId="19" fillId="11" borderId="7" xfId="0" applyNumberFormat="1" applyFont="1" applyFill="1" applyBorder="1" applyAlignment="1"/>
    <xf numFmtId="41" fontId="19" fillId="11" borderId="20" xfId="0" applyNumberFormat="1" applyFont="1" applyFill="1" applyBorder="1" applyAlignment="1"/>
    <xf numFmtId="0" fontId="19" fillId="11" borderId="0" xfId="0" applyNumberFormat="1" applyFont="1" applyFill="1" applyBorder="1" applyAlignment="1"/>
    <xf numFmtId="41" fontId="19" fillId="11" borderId="19" xfId="0" applyNumberFormat="1" applyFont="1" applyFill="1" applyBorder="1" applyAlignment="1"/>
    <xf numFmtId="0" fontId="3" fillId="11" borderId="1" xfId="0" applyNumberFormat="1" applyFont="1" applyFill="1" applyBorder="1" applyAlignment="1">
      <alignment horizontal="right"/>
    </xf>
    <xf numFmtId="41" fontId="3" fillId="11" borderId="18" xfId="0" applyNumberFormat="1" applyFont="1" applyFill="1" applyBorder="1" applyAlignment="1"/>
    <xf numFmtId="0" fontId="0" fillId="6" borderId="0" xfId="0" applyFill="1"/>
    <xf numFmtId="0" fontId="34" fillId="6" borderId="0" xfId="0" applyFont="1" applyFill="1" applyAlignment="1">
      <alignment horizontal="center"/>
    </xf>
    <xf numFmtId="0" fontId="34" fillId="6" borderId="12" xfId="0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42" fontId="0" fillId="6" borderId="0" xfId="3" applyNumberFormat="1" applyFont="1" applyFill="1"/>
    <xf numFmtId="41" fontId="0" fillId="6" borderId="0" xfId="1" applyNumberFormat="1" applyFont="1" applyFill="1"/>
    <xf numFmtId="41" fontId="0" fillId="6" borderId="4" xfId="1" applyNumberFormat="1" applyFont="1" applyFill="1" applyBorder="1"/>
    <xf numFmtId="42" fontId="0" fillId="6" borderId="23" xfId="3" applyNumberFormat="1" applyFont="1" applyFill="1" applyBorder="1"/>
    <xf numFmtId="0" fontId="0" fillId="6" borderId="0" xfId="0" quotePrefix="1" applyFill="1"/>
    <xf numFmtId="0" fontId="0" fillId="6" borderId="0" xfId="0" applyFill="1" applyAlignment="1">
      <alignment horizontal="left" indent="2"/>
    </xf>
    <xf numFmtId="43" fontId="0" fillId="0" borderId="0" xfId="0" applyNumberFormat="1"/>
    <xf numFmtId="43" fontId="0" fillId="0" borderId="0" xfId="1" applyNumberFormat="1" applyFont="1"/>
    <xf numFmtId="0" fontId="1" fillId="12" borderId="0" xfId="0" applyFont="1" applyFill="1"/>
    <xf numFmtId="5" fontId="1" fillId="12" borderId="4" xfId="0" applyNumberFormat="1" applyFont="1" applyFill="1" applyBorder="1"/>
    <xf numFmtId="164" fontId="1" fillId="12" borderId="0" xfId="1" applyNumberFormat="1" applyFont="1" applyFill="1"/>
    <xf numFmtId="164" fontId="1" fillId="12" borderId="0" xfId="0" applyNumberFormat="1" applyFont="1" applyFill="1"/>
    <xf numFmtId="0" fontId="7" fillId="13" borderId="3" xfId="0" applyFont="1" applyFill="1" applyBorder="1" applyAlignment="1">
      <alignment horizontal="center"/>
    </xf>
    <xf numFmtId="0" fontId="18" fillId="13" borderId="0" xfId="0" applyFont="1" applyFill="1" applyBorder="1"/>
    <xf numFmtId="0" fontId="7" fillId="13" borderId="0" xfId="0" applyFont="1" applyFill="1" applyBorder="1"/>
    <xf numFmtId="165" fontId="7" fillId="13" borderId="0" xfId="0" applyNumberFormat="1" applyFont="1" applyFill="1" applyBorder="1"/>
    <xf numFmtId="174" fontId="7" fillId="13" borderId="0" xfId="0" applyNumberFormat="1" applyFont="1" applyFill="1" applyBorder="1"/>
    <xf numFmtId="173" fontId="7" fillId="13" borderId="12" xfId="0" applyNumberFormat="1" applyFont="1" applyFill="1" applyBorder="1"/>
    <xf numFmtId="173" fontId="7" fillId="13" borderId="0" xfId="0" applyNumberFormat="1" applyFont="1" applyFill="1" applyBorder="1"/>
    <xf numFmtId="0" fontId="7" fillId="13" borderId="0" xfId="0" applyFont="1" applyFill="1"/>
    <xf numFmtId="0" fontId="7" fillId="13" borderId="0" xfId="0" applyFont="1" applyFill="1" applyBorder="1" applyAlignment="1"/>
    <xf numFmtId="164" fontId="7" fillId="13" borderId="0" xfId="0" applyNumberFormat="1" applyFont="1" applyFill="1" applyBorder="1"/>
    <xf numFmtId="41" fontId="7" fillId="13" borderId="0" xfId="0" applyNumberFormat="1" applyFont="1" applyFill="1" applyBorder="1"/>
    <xf numFmtId="43" fontId="7" fillId="13" borderId="0" xfId="0" applyNumberFormat="1" applyFont="1" applyFill="1" applyBorder="1"/>
    <xf numFmtId="0" fontId="21" fillId="13" borderId="0" xfId="0" applyFont="1" applyFill="1" applyBorder="1"/>
    <xf numFmtId="169" fontId="7" fillId="13" borderId="0" xfId="0" applyNumberFormat="1" applyFont="1" applyFill="1" applyBorder="1"/>
    <xf numFmtId="0" fontId="3" fillId="13" borderId="0" xfId="0" applyFont="1" applyFill="1" applyBorder="1" applyAlignment="1">
      <alignment horizontal="right"/>
    </xf>
    <xf numFmtId="2" fontId="3" fillId="13" borderId="0" xfId="0" applyNumberFormat="1" applyFont="1" applyFill="1"/>
    <xf numFmtId="0" fontId="7" fillId="13" borderId="0" xfId="0" quotePrefix="1" applyNumberFormat="1" applyFont="1" applyFill="1" applyBorder="1" applyAlignment="1">
      <alignment horizontal="left"/>
    </xf>
    <xf numFmtId="175" fontId="7" fillId="13" borderId="0" xfId="0" applyNumberFormat="1" applyFont="1" applyFill="1" applyBorder="1"/>
    <xf numFmtId="41" fontId="7" fillId="13" borderId="0" xfId="0" applyNumberFormat="1" applyFont="1" applyFill="1"/>
    <xf numFmtId="165" fontId="7" fillId="13" borderId="16" xfId="0" applyNumberFormat="1" applyFont="1" applyFill="1" applyBorder="1"/>
    <xf numFmtId="165" fontId="0" fillId="12" borderId="0" xfId="0" applyNumberFormat="1" applyFill="1"/>
    <xf numFmtId="41" fontId="0" fillId="12" borderId="0" xfId="0" applyNumberFormat="1" applyFill="1"/>
    <xf numFmtId="165" fontId="1" fillId="12" borderId="4" xfId="0" applyNumberFormat="1" applyFont="1" applyFill="1" applyBorder="1"/>
    <xf numFmtId="0" fontId="58" fillId="7" borderId="36" xfId="4" applyFont="1" applyBorder="1"/>
    <xf numFmtId="0" fontId="58" fillId="7" borderId="37" xfId="4" applyFont="1" applyBorder="1"/>
    <xf numFmtId="0" fontId="58" fillId="7" borderId="38" xfId="4" applyFont="1" applyBorder="1"/>
    <xf numFmtId="178" fontId="58" fillId="7" borderId="39" xfId="4" applyNumberFormat="1" applyFont="1" applyBorder="1"/>
    <xf numFmtId="173" fontId="58" fillId="7" borderId="39" xfId="4" applyNumberFormat="1" applyFont="1" applyBorder="1"/>
    <xf numFmtId="178" fontId="58" fillId="7" borderId="40" xfId="4" applyNumberFormat="1" applyFont="1" applyBorder="1"/>
    <xf numFmtId="0" fontId="58" fillId="7" borderId="41" xfId="4" applyFont="1" applyBorder="1"/>
    <xf numFmtId="0" fontId="58" fillId="7" borderId="42" xfId="4" applyFont="1" applyBorder="1"/>
    <xf numFmtId="0" fontId="58" fillId="7" borderId="39" xfId="4" applyFont="1" applyBorder="1"/>
    <xf numFmtId="0" fontId="59" fillId="7" borderId="38" xfId="4" applyFont="1" applyBorder="1"/>
    <xf numFmtId="0" fontId="60" fillId="0" borderId="0" xfId="0" applyFont="1" applyFill="1"/>
    <xf numFmtId="0" fontId="51" fillId="0" borderId="0" xfId="0" applyFont="1" applyFill="1"/>
    <xf numFmtId="0" fontId="30" fillId="0" borderId="0" xfId="2" applyFont="1" applyFill="1" applyAlignment="1">
      <alignment horizontal="center"/>
    </xf>
    <xf numFmtId="0" fontId="30" fillId="0" borderId="27" xfId="2" quotePrefix="1" applyFont="1" applyFill="1" applyBorder="1" applyAlignment="1">
      <alignment horizontal="center"/>
    </xf>
    <xf numFmtId="0" fontId="30" fillId="0" borderId="26" xfId="2" quotePrefix="1" applyFont="1" applyFill="1" applyBorder="1" applyAlignment="1">
      <alignment horizontal="center"/>
    </xf>
    <xf numFmtId="0" fontId="30" fillId="0" borderId="25" xfId="2" quotePrefix="1" applyFont="1" applyFill="1" applyBorder="1" applyAlignment="1">
      <alignment horizontal="center"/>
    </xf>
    <xf numFmtId="0" fontId="30" fillId="0" borderId="27" xfId="2" applyFont="1" applyFill="1" applyBorder="1" applyAlignment="1">
      <alignment horizontal="center"/>
    </xf>
    <xf numFmtId="0" fontId="30" fillId="0" borderId="26" xfId="2" applyFont="1" applyFill="1" applyBorder="1" applyAlignment="1">
      <alignment horizontal="center"/>
    </xf>
    <xf numFmtId="0" fontId="30" fillId="0" borderId="25" xfId="2" applyFont="1" applyFill="1" applyBorder="1" applyAlignment="1">
      <alignment horizontal="center"/>
    </xf>
    <xf numFmtId="43" fontId="33" fillId="8" borderId="35" xfId="5" applyNumberFormat="1" applyFont="1" applyBorder="1" applyAlignment="1">
      <alignment horizontal="center" vertical="top" wrapText="1"/>
    </xf>
    <xf numFmtId="43" fontId="33" fillId="8" borderId="24" xfId="5" applyNumberFormat="1" applyFont="1" applyBorder="1" applyAlignment="1">
      <alignment horizontal="center" vertical="top" wrapText="1"/>
    </xf>
    <xf numFmtId="43" fontId="33" fillId="8" borderId="29" xfId="5" applyNumberFormat="1" applyFont="1" applyBorder="1" applyAlignment="1">
      <alignment horizontal="center" vertical="top" wrapText="1"/>
    </xf>
  </cellXfs>
  <cellStyles count="9">
    <cellStyle name="Accent4" xfId="5" builtinId="41"/>
    <cellStyle name="Comma" xfId="1" builtinId="3"/>
    <cellStyle name="Comma 2" xfId="7"/>
    <cellStyle name="Currency" xfId="3" builtinId="4"/>
    <cellStyle name="Currency 2" xfId="8"/>
    <cellStyle name="Good" xfId="4" builtinId="26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21\Schedule%20Level%20Forecast\F21%20Final\Rates%20Deliverable\Rates%20F21%20Elec%20Delivered%20Sales%20&amp;%20Customer_Corr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0805-PSE-WP-SEF-3.01-PowerCosts-23BLR-Update-01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30805-PSE-WP-SCH95-RATE-DESIGN-0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021 Delivered Sales"/>
      <sheetName val="F2021 Customers"/>
      <sheetName val="F2021 Billed Demand"/>
      <sheetName val="map"/>
    </sheetNames>
    <sheetDataSet>
      <sheetData sheetId="0"/>
      <sheetData sheetId="1"/>
      <sheetData sheetId="2"/>
      <sheetData sheetId="3">
        <row r="2">
          <cell r="A2" t="str">
            <v>RC 03</v>
          </cell>
          <cell r="B2" t="str">
            <v xml:space="preserve">          Schedule 00 - S</v>
          </cell>
          <cell r="C2" t="str">
            <v>Street Lights</v>
          </cell>
        </row>
        <row r="3">
          <cell r="A3" t="str">
            <v>RC 05</v>
          </cell>
          <cell r="B3" t="str">
            <v xml:space="preserve">          Sales for Resale</v>
          </cell>
          <cell r="C3" t="str">
            <v>Sales for Resale</v>
          </cell>
        </row>
        <row r="4">
          <cell r="A4" t="str">
            <v>RC 07</v>
          </cell>
          <cell r="B4" t="str">
            <v xml:space="preserve">          Schedule 07 - R</v>
          </cell>
          <cell r="C4" t="str">
            <v>Residential</v>
          </cell>
        </row>
        <row r="5">
          <cell r="A5" t="str">
            <v>RC 7A</v>
          </cell>
          <cell r="B5" t="str">
            <v xml:space="preserve">          Schedule 07 - R</v>
          </cell>
          <cell r="C5" t="str">
            <v>Residential</v>
          </cell>
        </row>
        <row r="6">
          <cell r="A6" t="str">
            <v>RC 08</v>
          </cell>
          <cell r="B6" t="str">
            <v xml:space="preserve">          Schedule 08 - C</v>
          </cell>
          <cell r="C6" t="str">
            <v>Commercial</v>
          </cell>
        </row>
        <row r="7">
          <cell r="A7" t="str">
            <v>RC 10</v>
          </cell>
          <cell r="B7" t="str">
            <v xml:space="preserve">          Schedule 10 - C</v>
          </cell>
          <cell r="C7" t="str">
            <v>Commercial</v>
          </cell>
        </row>
        <row r="8">
          <cell r="A8" t="str">
            <v>RC 11</v>
          </cell>
          <cell r="B8" t="str">
            <v xml:space="preserve">          Schedule 11 - C</v>
          </cell>
          <cell r="C8" t="str">
            <v>Commercial</v>
          </cell>
        </row>
        <row r="9">
          <cell r="A9" t="str">
            <v>RC 12</v>
          </cell>
          <cell r="B9" t="str">
            <v xml:space="preserve">          Schedule 12 - C</v>
          </cell>
          <cell r="C9" t="str">
            <v>Commercial</v>
          </cell>
        </row>
        <row r="10">
          <cell r="A10" t="str">
            <v>RC 24C</v>
          </cell>
          <cell r="B10" t="str">
            <v xml:space="preserve">          Schedule 24 - C</v>
          </cell>
          <cell r="C10" t="str">
            <v>Commercial</v>
          </cell>
        </row>
        <row r="11">
          <cell r="A11" t="str">
            <v>RC 24I</v>
          </cell>
          <cell r="B11" t="str">
            <v xml:space="preserve">          Schedule 24 - I</v>
          </cell>
          <cell r="C11" t="str">
            <v>Industrial</v>
          </cell>
        </row>
        <row r="12">
          <cell r="A12" t="str">
            <v>RC 25C</v>
          </cell>
          <cell r="B12" t="str">
            <v xml:space="preserve">          Schedule 25 - C</v>
          </cell>
          <cell r="C12" t="str">
            <v>Commercial</v>
          </cell>
        </row>
        <row r="13">
          <cell r="A13" t="str">
            <v>RC 25I</v>
          </cell>
          <cell r="B13" t="str">
            <v xml:space="preserve">          Schedule 25 - I</v>
          </cell>
          <cell r="C13" t="str">
            <v>Industrial</v>
          </cell>
        </row>
        <row r="14">
          <cell r="A14" t="str">
            <v>RC 26C</v>
          </cell>
          <cell r="B14" t="str">
            <v xml:space="preserve">          Schedule 26 - C</v>
          </cell>
          <cell r="C14" t="str">
            <v>Commercial</v>
          </cell>
        </row>
        <row r="15">
          <cell r="A15" t="str">
            <v>RC 26I</v>
          </cell>
          <cell r="B15" t="str">
            <v xml:space="preserve">          Schedule 26 - I</v>
          </cell>
          <cell r="C15" t="str">
            <v>Industrial</v>
          </cell>
        </row>
        <row r="16">
          <cell r="A16" t="str">
            <v>RC 29</v>
          </cell>
          <cell r="B16" t="str">
            <v xml:space="preserve">          Schedule 29 - C</v>
          </cell>
          <cell r="C16" t="str">
            <v>Commercial</v>
          </cell>
        </row>
        <row r="17">
          <cell r="A17" t="str">
            <v>RC 31C</v>
          </cell>
          <cell r="B17" t="str">
            <v xml:space="preserve">          Schedule 31 - C</v>
          </cell>
          <cell r="C17" t="str">
            <v>Commercial</v>
          </cell>
        </row>
        <row r="18">
          <cell r="A18" t="str">
            <v>RC 31I</v>
          </cell>
          <cell r="B18" t="str">
            <v xml:space="preserve">          Schedule 31 - I</v>
          </cell>
          <cell r="C18" t="str">
            <v>Industrial</v>
          </cell>
        </row>
        <row r="19">
          <cell r="A19" t="str">
            <v>RC 35</v>
          </cell>
          <cell r="B19" t="str">
            <v xml:space="preserve">          Schedule 35 - C</v>
          </cell>
          <cell r="C19" t="str">
            <v>Commercial</v>
          </cell>
        </row>
        <row r="20">
          <cell r="A20" t="str">
            <v>RC 40C</v>
          </cell>
          <cell r="B20" t="str">
            <v xml:space="preserve">          Schedule 40 - C</v>
          </cell>
          <cell r="C20" t="str">
            <v>Commercial</v>
          </cell>
        </row>
        <row r="21">
          <cell r="A21" t="str">
            <v>RC 40I</v>
          </cell>
          <cell r="B21" t="str">
            <v xml:space="preserve">          Schedule 40 - I</v>
          </cell>
          <cell r="C21" t="str">
            <v>Industrial</v>
          </cell>
        </row>
        <row r="22">
          <cell r="A22" t="str">
            <v>RC 40-26C (not used)</v>
          </cell>
          <cell r="B22" t="str">
            <v>Exclude</v>
          </cell>
          <cell r="C22" t="str">
            <v>Exclude</v>
          </cell>
        </row>
        <row r="23">
          <cell r="A23" t="str">
            <v>RC 40-26I (not used)</v>
          </cell>
          <cell r="B23" t="str">
            <v>Exclude</v>
          </cell>
          <cell r="C23" t="str">
            <v>Exclude</v>
          </cell>
        </row>
        <row r="24">
          <cell r="A24" t="str">
            <v>RC 40-31C (not used)</v>
          </cell>
          <cell r="B24" t="str">
            <v>Exclude</v>
          </cell>
          <cell r="C24" t="str">
            <v>Exclude</v>
          </cell>
        </row>
        <row r="25">
          <cell r="A25" t="str">
            <v>RC 40-31I (not used)</v>
          </cell>
          <cell r="B25" t="str">
            <v>Exclude</v>
          </cell>
          <cell r="C25" t="str">
            <v>Exclude</v>
          </cell>
        </row>
        <row r="26">
          <cell r="A26" t="str">
            <v>RC 43</v>
          </cell>
          <cell r="B26" t="str">
            <v xml:space="preserve">          Schedule 43 - C</v>
          </cell>
          <cell r="C26" t="str">
            <v>Commercial</v>
          </cell>
        </row>
        <row r="27">
          <cell r="A27" t="str">
            <v>RC 46C</v>
          </cell>
          <cell r="B27" t="str">
            <v xml:space="preserve">          Schedule 46 - C</v>
          </cell>
          <cell r="C27" t="str">
            <v>Commercial</v>
          </cell>
        </row>
        <row r="28">
          <cell r="A28" t="str">
            <v>RC 46I</v>
          </cell>
          <cell r="B28" t="str">
            <v xml:space="preserve">          Schedule 46 - I</v>
          </cell>
          <cell r="C28" t="str">
            <v>Industrial</v>
          </cell>
        </row>
        <row r="29">
          <cell r="A29" t="str">
            <v>RC 49C</v>
          </cell>
          <cell r="B29" t="str">
            <v xml:space="preserve">          Schedule 49 - C</v>
          </cell>
          <cell r="C29" t="str">
            <v>Commercial</v>
          </cell>
        </row>
        <row r="30">
          <cell r="A30" t="str">
            <v>RC 49I</v>
          </cell>
          <cell r="B30" t="str">
            <v xml:space="preserve">          Schedule 49 - I</v>
          </cell>
          <cell r="C30" t="str">
            <v>Industrial</v>
          </cell>
        </row>
        <row r="31">
          <cell r="A31" t="str">
            <v>RC 24L</v>
          </cell>
          <cell r="B31" t="str">
            <v xml:space="preserve">          Schedule 24 - S</v>
          </cell>
          <cell r="C31" t="str">
            <v>Street Lights</v>
          </cell>
        </row>
        <row r="32">
          <cell r="A32" t="str">
            <v>RC 25L</v>
          </cell>
          <cell r="B32" t="str">
            <v xml:space="preserve">          Schedule 25 - S</v>
          </cell>
          <cell r="C32" t="str">
            <v>Street Lights</v>
          </cell>
        </row>
        <row r="33">
          <cell r="A33" t="str">
            <v>RC 50</v>
          </cell>
          <cell r="B33" t="str">
            <v xml:space="preserve">          Schedule 50 - S</v>
          </cell>
          <cell r="C33" t="str">
            <v>Street Lights</v>
          </cell>
        </row>
        <row r="34">
          <cell r="A34" t="str">
            <v>RC 51</v>
          </cell>
          <cell r="B34" t="str">
            <v xml:space="preserve">          Schedule 51 - S</v>
          </cell>
          <cell r="C34" t="str">
            <v>Street Lights</v>
          </cell>
        </row>
        <row r="35">
          <cell r="A35" t="str">
            <v>RC 52</v>
          </cell>
          <cell r="B35" t="str">
            <v xml:space="preserve">          Schedule 52 - S</v>
          </cell>
          <cell r="C35" t="str">
            <v>Street Lights</v>
          </cell>
        </row>
        <row r="36">
          <cell r="A36" t="str">
            <v>RC 53</v>
          </cell>
          <cell r="B36" t="str">
            <v xml:space="preserve">          Schedule 53 - S</v>
          </cell>
          <cell r="C36" t="str">
            <v>Street Lights</v>
          </cell>
        </row>
        <row r="37">
          <cell r="A37" t="str">
            <v>RC 54</v>
          </cell>
          <cell r="B37" t="str">
            <v xml:space="preserve">          Schedule 54 - S</v>
          </cell>
          <cell r="C37" t="str">
            <v>Street Lights</v>
          </cell>
        </row>
        <row r="38">
          <cell r="A38" t="str">
            <v>RC 55</v>
          </cell>
          <cell r="B38" t="str">
            <v xml:space="preserve">          Schedule 55 - C</v>
          </cell>
          <cell r="C38" t="str">
            <v>Commercial</v>
          </cell>
        </row>
        <row r="39">
          <cell r="A39" t="str">
            <v>RC 56</v>
          </cell>
          <cell r="B39" t="str">
            <v xml:space="preserve">          Schedule 56 - C</v>
          </cell>
          <cell r="C39" t="str">
            <v>Commercial</v>
          </cell>
        </row>
        <row r="40">
          <cell r="A40" t="str">
            <v>RC 57</v>
          </cell>
          <cell r="B40" t="str">
            <v xml:space="preserve">          Schedule 57 - S</v>
          </cell>
          <cell r="C40" t="str">
            <v>Street Lights</v>
          </cell>
        </row>
        <row r="41">
          <cell r="A41" t="str">
            <v>RC 58</v>
          </cell>
          <cell r="B41" t="str">
            <v xml:space="preserve">          Schedule 58 - C</v>
          </cell>
          <cell r="C41" t="str">
            <v>Commercial</v>
          </cell>
        </row>
        <row r="42">
          <cell r="A42" t="str">
            <v>RC 59</v>
          </cell>
          <cell r="B42" t="str">
            <v xml:space="preserve">          Schedule 59 - C</v>
          </cell>
          <cell r="C42" t="str">
            <v>Commercial</v>
          </cell>
        </row>
        <row r="43">
          <cell r="A43" t="str">
            <v>Sales Total</v>
          </cell>
          <cell r="B43" t="str">
            <v>Exclude</v>
          </cell>
          <cell r="C43" t="str">
            <v>Exclude</v>
          </cell>
        </row>
        <row r="44">
          <cell r="A44" t="str">
            <v>RC 449PV</v>
          </cell>
          <cell r="B44" t="str">
            <v xml:space="preserve">          Schedule 449PV - T</v>
          </cell>
          <cell r="C44" t="str">
            <v>Transport</v>
          </cell>
        </row>
        <row r="45">
          <cell r="A45" t="str">
            <v>RC449HV</v>
          </cell>
          <cell r="B45" t="str">
            <v xml:space="preserve">          Schedule 449HV - T</v>
          </cell>
          <cell r="C45" t="str">
            <v>Transport</v>
          </cell>
        </row>
        <row r="46">
          <cell r="A46" t="str">
            <v>RC 459HV</v>
          </cell>
          <cell r="B46" t="str">
            <v xml:space="preserve">          Schedule 459HV - T</v>
          </cell>
          <cell r="C46" t="str">
            <v>Transport</v>
          </cell>
        </row>
        <row r="47">
          <cell r="A47" t="str">
            <v>Sales+Transport</v>
          </cell>
          <cell r="B47" t="str">
            <v>Exclude</v>
          </cell>
          <cell r="C47" t="str">
            <v>Exclude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Power Cost Bridge to A-1"/>
      <sheetName val="2024 (NEW)"/>
      <sheetName val="2022GRC=&gt;"/>
      <sheetName val="2023"/>
      <sheetName val="PKW BR-02"/>
      <sheetName val="Power Cost summary"/>
      <sheetName val="MAC6_Prod O&amp;M Summary "/>
      <sheetName val="TY 557xorder"/>
      <sheetName val="B&amp;T 557 Forecast"/>
      <sheetName val="B&amp;T O&amp;M TY"/>
      <sheetName val="B&amp;T O&amp;M Forecast"/>
      <sheetName val="Centralia Equity Kicker"/>
      <sheetName val="Transmission Revenue"/>
      <sheetName val="TY Orders"/>
      <sheetName val="Restating Section=&gt;"/>
      <sheetName val="Summary Normalization"/>
      <sheetName val="Load Impact to Cost &amp; Rev"/>
      <sheetName val="Load Temp Adj"/>
      <sheetName val="12MOE Jun-21 Hydro"/>
      <sheetName val="12MOE Jun-21 Wind"/>
      <sheetName val="Support--&gt;"/>
      <sheetName val="EA Database"/>
      <sheetName val="BAGE &amp; SAGE"/>
      <sheetName val="PKW-WP ENERG"/>
      <sheetName val="Wind Forecast"/>
      <sheetName val="CEA Forecast"/>
      <sheetName val="Wind Integration Costs"/>
      <sheetName val="Price"/>
      <sheetName val="PCA Calc=&gt;"/>
      <sheetName val="Sched B 12MOE Jun-21"/>
      <sheetName val="Actuals 12MOE Jun-21"/>
      <sheetName val="FERC"/>
    </sheetNames>
    <sheetDataSet>
      <sheetData sheetId="0">
        <row r="88">
          <cell r="M88">
            <v>18614678.64516747</v>
          </cell>
        </row>
      </sheetData>
      <sheetData sheetId="1">
        <row r="15">
          <cell r="T15">
            <v>55531891.799999997</v>
          </cell>
        </row>
        <row r="16">
          <cell r="T16">
            <v>324050146.69745833</v>
          </cell>
        </row>
        <row r="17">
          <cell r="T17">
            <v>930693146.31284964</v>
          </cell>
        </row>
        <row r="18">
          <cell r="T18">
            <v>11391237.017779689</v>
          </cell>
        </row>
        <row r="21">
          <cell r="T21">
            <v>153226726.55457237</v>
          </cell>
        </row>
        <row r="22">
          <cell r="T22">
            <v>-249029764.49999997</v>
          </cell>
        </row>
        <row r="23">
          <cell r="T23">
            <v>-126901357.81756389</v>
          </cell>
        </row>
        <row r="29">
          <cell r="T29">
            <v>-5115744.6620968897</v>
          </cell>
        </row>
      </sheetData>
      <sheetData sheetId="2">
        <row r="17">
          <cell r="C17">
            <v>17153.94262085393</v>
          </cell>
        </row>
        <row r="18">
          <cell r="C18">
            <v>1116115.9686859497</v>
          </cell>
          <cell r="D18">
            <v>933043.53349337506</v>
          </cell>
        </row>
        <row r="38">
          <cell r="C38">
            <v>1139678.8530469213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95"/>
      <sheetName val="Street &amp; Area Lighting"/>
      <sheetName val="Revenue Impacts Sch 95"/>
      <sheetName val="Rate Spread"/>
      <sheetName val="Typical Residential Notice"/>
      <sheetName val="WorkPapers-&gt;"/>
      <sheetName val="2024 Variable PC Deficiency"/>
      <sheetName val="F2023 Forecasted Delivered Load"/>
      <sheetName val="2022 GRC Compliance--&gt;"/>
      <sheetName val="2022 GRC Load Research - Energy"/>
      <sheetName val="2022 GRC PCA Costs"/>
      <sheetName val="2022 GRC Conversion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N27">
            <v>20448456600.058544</v>
          </cell>
        </row>
        <row r="29">
          <cell r="N29">
            <v>21186878600.058544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5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8" sqref="D18"/>
    </sheetView>
  </sheetViews>
  <sheetFormatPr defaultRowHeight="14.25" x14ac:dyDescent="0.2"/>
  <cols>
    <col min="1" max="1" width="5.7109375" style="91" customWidth="1"/>
    <col min="2" max="2" width="47.28515625" style="91" bestFit="1" customWidth="1"/>
    <col min="3" max="3" width="1.7109375" style="91" customWidth="1"/>
    <col min="4" max="4" width="18.5703125" style="91" bestFit="1" customWidth="1"/>
    <col min="5" max="5" width="1.7109375" style="91" customWidth="1"/>
    <col min="6" max="6" width="16.42578125" style="91" bestFit="1" customWidth="1"/>
    <col min="7" max="7" width="17.5703125" style="91" bestFit="1" customWidth="1"/>
    <col min="8" max="8" width="15.140625" style="211" bestFit="1" customWidth="1"/>
    <col min="9" max="9" width="9.140625" style="211"/>
    <col min="10" max="10" width="18.42578125" style="211" bestFit="1" customWidth="1"/>
    <col min="11" max="11" width="15.7109375" style="211" bestFit="1" customWidth="1"/>
    <col min="12" max="12" width="12.42578125" style="211" bestFit="1" customWidth="1"/>
    <col min="13" max="16384" width="9.140625" style="211"/>
  </cols>
  <sheetData>
    <row r="1" spans="1:11" x14ac:dyDescent="0.2">
      <c r="A1" s="62"/>
      <c r="B1" s="63"/>
      <c r="C1" s="64"/>
      <c r="D1" s="64"/>
      <c r="E1" s="64"/>
      <c r="F1" s="64"/>
      <c r="G1" s="64"/>
    </row>
    <row r="2" spans="1:11" x14ac:dyDescent="0.2">
      <c r="A2" s="65"/>
      <c r="B2" s="214"/>
      <c r="C2" s="66"/>
      <c r="D2" s="66"/>
      <c r="E2" s="66"/>
      <c r="F2" s="66"/>
      <c r="G2" s="67" t="s">
        <v>260</v>
      </c>
    </row>
    <row r="3" spans="1:11" x14ac:dyDescent="0.2">
      <c r="A3" s="65"/>
      <c r="B3" s="68"/>
      <c r="C3" s="66"/>
      <c r="D3" s="66"/>
      <c r="E3" s="66"/>
      <c r="F3" s="66"/>
      <c r="G3" s="67" t="s">
        <v>261</v>
      </c>
    </row>
    <row r="4" spans="1:11" x14ac:dyDescent="0.2">
      <c r="A4" s="65"/>
      <c r="B4" s="68"/>
      <c r="C4" s="66"/>
      <c r="D4" s="66"/>
      <c r="E4" s="66"/>
      <c r="F4" s="66"/>
      <c r="G4" s="66"/>
    </row>
    <row r="5" spans="1:11" x14ac:dyDescent="0.2">
      <c r="A5" s="69"/>
      <c r="B5" s="70" t="s">
        <v>68</v>
      </c>
      <c r="C5" s="71"/>
      <c r="D5" s="71"/>
      <c r="E5" s="71"/>
      <c r="F5" s="71"/>
      <c r="G5" s="71"/>
    </row>
    <row r="6" spans="1:11" x14ac:dyDescent="0.2">
      <c r="A6" s="69"/>
      <c r="B6" s="70" t="s">
        <v>69</v>
      </c>
      <c r="C6" s="71"/>
      <c r="D6" s="71"/>
      <c r="E6" s="71"/>
      <c r="F6" s="71"/>
      <c r="G6" s="71"/>
    </row>
    <row r="7" spans="1:11" x14ac:dyDescent="0.2">
      <c r="A7" s="69"/>
      <c r="B7" s="72" t="s">
        <v>169</v>
      </c>
      <c r="C7" s="71"/>
      <c r="D7" s="71"/>
      <c r="E7" s="71"/>
      <c r="F7" s="71"/>
      <c r="G7" s="71"/>
    </row>
    <row r="8" spans="1:11" x14ac:dyDescent="0.2">
      <c r="A8" s="69"/>
      <c r="B8" s="73"/>
      <c r="C8" s="71"/>
      <c r="D8" s="71"/>
      <c r="E8" s="71"/>
      <c r="F8" s="71"/>
      <c r="G8" s="71"/>
    </row>
    <row r="9" spans="1:11" x14ac:dyDescent="0.2">
      <c r="A9" s="69"/>
      <c r="B9" s="74"/>
      <c r="C9" s="71"/>
      <c r="D9" s="71"/>
      <c r="E9" s="71"/>
      <c r="F9" s="71"/>
      <c r="G9" s="71"/>
    </row>
    <row r="10" spans="1:11" x14ac:dyDescent="0.2">
      <c r="A10" s="69"/>
      <c r="B10" s="74"/>
      <c r="C10" s="71"/>
      <c r="D10" s="75" t="s">
        <v>82</v>
      </c>
      <c r="E10" s="71"/>
      <c r="F10" s="75" t="s">
        <v>80</v>
      </c>
      <c r="G10" s="76" t="s">
        <v>70</v>
      </c>
    </row>
    <row r="11" spans="1:11" x14ac:dyDescent="0.2">
      <c r="A11" s="77"/>
      <c r="B11" s="78" t="s">
        <v>71</v>
      </c>
      <c r="C11" s="71"/>
      <c r="D11" s="79" t="str">
        <f>+F11</f>
        <v>Jul '20 ~ Jun '21</v>
      </c>
      <c r="E11" s="71"/>
      <c r="F11" s="79" t="s">
        <v>81</v>
      </c>
      <c r="G11" s="76" t="s">
        <v>72</v>
      </c>
    </row>
    <row r="12" spans="1:11" x14ac:dyDescent="0.2">
      <c r="A12" s="80" t="s">
        <v>64</v>
      </c>
      <c r="B12" s="81" t="s">
        <v>73</v>
      </c>
      <c r="C12" s="82"/>
      <c r="D12" s="83" t="s">
        <v>129</v>
      </c>
      <c r="E12" s="84"/>
      <c r="F12" s="83" t="s">
        <v>172</v>
      </c>
      <c r="G12" s="84" t="s">
        <v>74</v>
      </c>
      <c r="J12" s="399" t="s">
        <v>244</v>
      </c>
      <c r="K12" s="399"/>
    </row>
    <row r="13" spans="1:11" x14ac:dyDescent="0.2">
      <c r="A13" s="69"/>
      <c r="B13" s="71"/>
      <c r="C13" s="71"/>
      <c r="D13" s="71"/>
      <c r="E13" s="71"/>
      <c r="F13" s="71"/>
      <c r="G13" s="71"/>
      <c r="J13" s="399" t="s">
        <v>256</v>
      </c>
      <c r="K13" s="401">
        <f>+'[2]2024 (NEW)'!$C$18*1000</f>
        <v>1116115968.6859498</v>
      </c>
    </row>
    <row r="14" spans="1:11" x14ac:dyDescent="0.2">
      <c r="A14" s="85">
        <f>ROW()</f>
        <v>14</v>
      </c>
      <c r="B14" s="86" t="s">
        <v>75</v>
      </c>
      <c r="C14" s="71"/>
      <c r="D14" s="71"/>
      <c r="E14" s="71"/>
      <c r="F14" s="71"/>
      <c r="G14" s="71"/>
      <c r="J14" s="399" t="s">
        <v>257</v>
      </c>
      <c r="K14" s="401">
        <f>+'[2]2024 (NEW)'!$C$38*1000</f>
        <v>1139678853.0469213</v>
      </c>
    </row>
    <row r="15" spans="1:11" x14ac:dyDescent="0.2">
      <c r="A15" s="85">
        <f>ROW()</f>
        <v>15</v>
      </c>
      <c r="B15" s="71"/>
      <c r="C15" s="88">
        <f>Deficiency!G26</f>
        <v>160893156.0888446</v>
      </c>
      <c r="D15" s="87"/>
      <c r="E15" s="71"/>
      <c r="F15" s="71"/>
      <c r="G15" s="71"/>
      <c r="J15" s="399"/>
      <c r="K15" s="400">
        <f>+K13-K14</f>
        <v>-23562884.360971451</v>
      </c>
    </row>
    <row r="16" spans="1:11" x14ac:dyDescent="0.2">
      <c r="A16" s="85">
        <f>ROW()</f>
        <v>16</v>
      </c>
      <c r="B16" s="71" t="s">
        <v>76</v>
      </c>
      <c r="C16" s="71"/>
      <c r="D16" s="88">
        <f>+'Exhibit A-1 2024'!G38</f>
        <v>1103601560.8834</v>
      </c>
      <c r="E16" s="71"/>
      <c r="F16" s="88">
        <f>+'Exhibit A-1 22GRC'!O36</f>
        <v>929865738.43520164</v>
      </c>
      <c r="G16" s="88">
        <f>+D16-F16</f>
        <v>173735822.44819832</v>
      </c>
      <c r="J16" s="399" t="s">
        <v>248</v>
      </c>
      <c r="K16" s="401">
        <f>+K15/D17</f>
        <v>-24741884.648228854</v>
      </c>
    </row>
    <row r="17" spans="1:12" x14ac:dyDescent="0.2">
      <c r="A17" s="85">
        <f>ROW()</f>
        <v>17</v>
      </c>
      <c r="B17" s="71" t="s">
        <v>77</v>
      </c>
      <c r="C17" s="71"/>
      <c r="D17" s="89">
        <f>+'Exhibit A-1 2024'!C39</f>
        <v>0.95234799999999997</v>
      </c>
      <c r="E17" s="71"/>
      <c r="F17" s="89">
        <f>+'Exhibit A-1 22GRC'!C37</f>
        <v>0.95234799999999997</v>
      </c>
      <c r="G17" s="90"/>
      <c r="J17" s="399"/>
      <c r="K17" s="402">
        <f>+Explain!H60</f>
        <v>-24741884.648229361</v>
      </c>
      <c r="L17" s="211" t="s">
        <v>247</v>
      </c>
    </row>
    <row r="18" spans="1:12" ht="15" x14ac:dyDescent="0.25">
      <c r="A18" s="85">
        <f>ROW()</f>
        <v>18</v>
      </c>
      <c r="C18" s="71"/>
      <c r="D18" s="92"/>
      <c r="E18" s="92"/>
      <c r="F18" s="92"/>
      <c r="G18" s="88"/>
      <c r="J18"/>
      <c r="K18"/>
    </row>
    <row r="19" spans="1:12" ht="15" x14ac:dyDescent="0.25">
      <c r="A19" s="85">
        <f>ROW()</f>
        <v>19</v>
      </c>
      <c r="B19" s="93" t="s">
        <v>78</v>
      </c>
      <c r="C19" s="71"/>
      <c r="D19" s="94">
        <f>+ROUND(D16/D17,0)</f>
        <v>1158821734</v>
      </c>
      <c r="E19" s="71"/>
      <c r="F19" s="94">
        <f>+ROUND(F16/F17,0)</f>
        <v>976392809</v>
      </c>
      <c r="G19" s="88"/>
      <c r="H19" s="212"/>
      <c r="J19" s="399" t="s">
        <v>263</v>
      </c>
      <c r="K19" s="423">
        <f>+G55</f>
        <v>-24746274.204868376</v>
      </c>
    </row>
    <row r="20" spans="1:12" ht="15" x14ac:dyDescent="0.25">
      <c r="A20" s="85">
        <f>ROW()</f>
        <v>20</v>
      </c>
      <c r="B20" s="71" t="s">
        <v>134</v>
      </c>
      <c r="C20" s="71"/>
      <c r="D20" s="95">
        <f>+'[3]F2023 Forecasted Delivered Load'!$N$29/1000</f>
        <v>21186878.600058544</v>
      </c>
      <c r="E20" s="95"/>
      <c r="F20" s="95">
        <f>+'22GRC Load'!$N$12/1000</f>
        <v>20729832.8475</v>
      </c>
      <c r="G20" s="96" t="s">
        <v>2</v>
      </c>
      <c r="J20" s="399" t="s">
        <v>264</v>
      </c>
      <c r="K20" s="424">
        <f>-Explain!F58</f>
        <v>4389.5566390156746</v>
      </c>
    </row>
    <row r="21" spans="1:12" x14ac:dyDescent="0.2">
      <c r="A21" s="85">
        <f>ROW()</f>
        <v>21</v>
      </c>
      <c r="B21" s="71"/>
      <c r="C21" s="71"/>
      <c r="D21" s="95"/>
      <c r="E21" s="95"/>
      <c r="F21" s="95"/>
      <c r="G21" s="96"/>
      <c r="J21" s="399" t="s">
        <v>265</v>
      </c>
      <c r="K21" s="425">
        <f>SUM(K19:K20)</f>
        <v>-24741884.648229361</v>
      </c>
    </row>
    <row r="22" spans="1:12" x14ac:dyDescent="0.2">
      <c r="A22" s="85">
        <f>ROW()</f>
        <v>22</v>
      </c>
      <c r="B22" s="215" t="str">
        <f>"Total Variable Costs per MWh (Line "&amp;A19&amp;" / Line "&amp;A20&amp;")"</f>
        <v>Total Variable Costs per MWh (Line 19 / Line 20)</v>
      </c>
      <c r="C22" s="71"/>
      <c r="D22" s="97">
        <f>ROUND(+D19/D20,3)</f>
        <v>54.695</v>
      </c>
      <c r="E22" s="95"/>
      <c r="F22" s="97">
        <f>ROUND(+F19/F20,3)</f>
        <v>47.100999999999999</v>
      </c>
      <c r="G22" s="97">
        <f>ROUND(D22-F22,3)</f>
        <v>7.5940000000000003</v>
      </c>
    </row>
    <row r="23" spans="1:12" x14ac:dyDescent="0.2">
      <c r="A23" s="85">
        <f>ROW()</f>
        <v>23</v>
      </c>
      <c r="B23" s="71"/>
      <c r="C23" s="102" t="s">
        <v>79</v>
      </c>
      <c r="D23" s="104">
        <f>(+'Exhibit A-1 2024'!D48-D22)+(('Exhibit A-1 2024'!C41-Deficiency!D20)*Deficiency!D22/'Exhibit A-1 2024'!C41)</f>
        <v>-1.1196467924823317E-4</v>
      </c>
      <c r="E23" s="95"/>
      <c r="F23" s="104">
        <f>(+'Exhibit A-1 22GRC'!L46-F22)+(('Exhibit A-1 22GRC'!K39-F20)*Deficiency!F22/'Exhibit A-1 22GRC'!K39)</f>
        <v>-7.6788768509228333E-4</v>
      </c>
      <c r="G23" s="97"/>
      <c r="J23" s="399" t="s">
        <v>249</v>
      </c>
      <c r="K23" s="401">
        <f>+[2]Lead!$M$88</f>
        <v>18614678.64516747</v>
      </c>
      <c r="L23" s="211" t="s">
        <v>266</v>
      </c>
    </row>
    <row r="24" spans="1:12" x14ac:dyDescent="0.2">
      <c r="A24" s="85">
        <f>ROW()</f>
        <v>24</v>
      </c>
      <c r="B24" s="98" t="s">
        <v>170</v>
      </c>
      <c r="C24" s="71"/>
      <c r="E24" s="92"/>
      <c r="F24" s="99"/>
      <c r="G24" s="94">
        <f>+D20</f>
        <v>21186878.600058544</v>
      </c>
      <c r="H24" s="216"/>
      <c r="J24" s="399" t="s">
        <v>250</v>
      </c>
      <c r="K24" s="401">
        <f>+K23/0.79</f>
        <v>23562884.360971481</v>
      </c>
    </row>
    <row r="25" spans="1:12" x14ac:dyDescent="0.2">
      <c r="A25" s="85">
        <f>ROW()</f>
        <v>25</v>
      </c>
      <c r="B25" s="98"/>
      <c r="C25" s="71"/>
      <c r="E25" s="92"/>
      <c r="F25" s="95"/>
      <c r="G25" s="94"/>
      <c r="H25" s="216"/>
      <c r="J25" s="399" t="s">
        <v>251</v>
      </c>
      <c r="K25" s="401">
        <f>+K24/D17</f>
        <v>24741884.648228884</v>
      </c>
    </row>
    <row r="26" spans="1:12" x14ac:dyDescent="0.2">
      <c r="A26" s="85">
        <f>ROW()</f>
        <v>26</v>
      </c>
      <c r="B26" s="98" t="s">
        <v>171</v>
      </c>
      <c r="C26" s="71"/>
      <c r="D26" s="209"/>
      <c r="E26" s="92"/>
      <c r="F26" s="95"/>
      <c r="G26" s="100">
        <f>+G22*G24</f>
        <v>160893156.0888446</v>
      </c>
      <c r="H26" s="217"/>
    </row>
    <row r="27" spans="1:12" ht="18.75" x14ac:dyDescent="0.3">
      <c r="A27" s="76"/>
      <c r="B27" s="215"/>
      <c r="C27" s="213"/>
      <c r="D27" s="213"/>
      <c r="E27" s="213"/>
      <c r="F27" s="213"/>
      <c r="G27" s="215"/>
      <c r="H27" s="216"/>
      <c r="J27" s="426"/>
      <c r="K27" s="427"/>
    </row>
    <row r="28" spans="1:12" ht="18.75" x14ac:dyDescent="0.3">
      <c r="A28" s="436" t="s">
        <v>258</v>
      </c>
      <c r="B28" s="98"/>
      <c r="C28" s="213"/>
      <c r="D28" s="213"/>
      <c r="E28" s="213"/>
      <c r="F28" s="213"/>
      <c r="G28" s="88"/>
      <c r="J28" s="435" t="s">
        <v>255</v>
      </c>
      <c r="K28" s="434"/>
    </row>
    <row r="29" spans="1:12" ht="18.75" x14ac:dyDescent="0.3">
      <c r="A29" s="403">
        <v>14</v>
      </c>
      <c r="B29" s="404" t="s">
        <v>75</v>
      </c>
      <c r="C29" s="405"/>
      <c r="D29" s="405"/>
      <c r="E29" s="405"/>
      <c r="F29" s="405"/>
      <c r="G29" s="405"/>
      <c r="J29" s="428" t="s">
        <v>252</v>
      </c>
      <c r="K29" s="429">
        <f>K15/1000000</f>
        <v>-23.562884360971452</v>
      </c>
    </row>
    <row r="30" spans="1:12" ht="18.75" x14ac:dyDescent="0.3">
      <c r="A30" s="403">
        <v>15</v>
      </c>
      <c r="B30" s="405"/>
      <c r="C30" s="406">
        <v>185639430.29371297</v>
      </c>
      <c r="D30" s="407"/>
      <c r="E30" s="405"/>
      <c r="F30" s="405"/>
      <c r="G30" s="405"/>
      <c r="J30" s="428" t="s">
        <v>253</v>
      </c>
      <c r="K30" s="430">
        <f>D32</f>
        <v>0.95234799999999997</v>
      </c>
    </row>
    <row r="31" spans="1:12" ht="19.5" thickBot="1" x14ac:dyDescent="0.35">
      <c r="A31" s="403">
        <v>16</v>
      </c>
      <c r="B31" s="405" t="s">
        <v>76</v>
      </c>
      <c r="C31" s="405"/>
      <c r="D31" s="406">
        <v>1127164445.2443719</v>
      </c>
      <c r="E31" s="405"/>
      <c r="F31" s="406">
        <v>929865738.43520164</v>
      </c>
      <c r="G31" s="406">
        <v>197298706.80917025</v>
      </c>
      <c r="J31" s="428" t="s">
        <v>254</v>
      </c>
      <c r="K31" s="431">
        <f>K29/K30</f>
        <v>-24.741884648228854</v>
      </c>
    </row>
    <row r="32" spans="1:12" ht="19.5" thickTop="1" x14ac:dyDescent="0.3">
      <c r="A32" s="403">
        <v>17</v>
      </c>
      <c r="B32" s="405" t="s">
        <v>77</v>
      </c>
      <c r="C32" s="405"/>
      <c r="D32" s="408">
        <v>0.95234799999999997</v>
      </c>
      <c r="E32" s="405"/>
      <c r="F32" s="408">
        <v>0.95234799999999997</v>
      </c>
      <c r="G32" s="409"/>
      <c r="J32" s="432"/>
      <c r="K32" s="433"/>
    </row>
    <row r="33" spans="1:7" x14ac:dyDescent="0.2">
      <c r="A33" s="403">
        <v>18</v>
      </c>
      <c r="B33" s="410"/>
      <c r="C33" s="405"/>
      <c r="D33" s="410"/>
      <c r="E33" s="410"/>
      <c r="F33" s="410"/>
      <c r="G33" s="406"/>
    </row>
    <row r="34" spans="1:7" x14ac:dyDescent="0.2">
      <c r="A34" s="403">
        <v>19</v>
      </c>
      <c r="B34" s="411" t="s">
        <v>78</v>
      </c>
      <c r="C34" s="405"/>
      <c r="D34" s="412">
        <v>1183563619</v>
      </c>
      <c r="E34" s="405"/>
      <c r="F34" s="412">
        <v>976392809</v>
      </c>
      <c r="G34" s="406"/>
    </row>
    <row r="35" spans="1:7" x14ac:dyDescent="0.2">
      <c r="A35" s="403">
        <v>20</v>
      </c>
      <c r="B35" s="405" t="s">
        <v>134</v>
      </c>
      <c r="C35" s="405"/>
      <c r="D35" s="413">
        <v>21186878.600058544</v>
      </c>
      <c r="E35" s="413"/>
      <c r="F35" s="413">
        <v>20729832.8475</v>
      </c>
      <c r="G35" s="414" t="s">
        <v>2</v>
      </c>
    </row>
    <row r="36" spans="1:7" x14ac:dyDescent="0.2">
      <c r="A36" s="403">
        <v>21</v>
      </c>
      <c r="B36" s="405"/>
      <c r="C36" s="405"/>
      <c r="D36" s="413"/>
      <c r="E36" s="413"/>
      <c r="F36" s="413"/>
      <c r="G36" s="414"/>
    </row>
    <row r="37" spans="1:7" x14ac:dyDescent="0.2">
      <c r="A37" s="403">
        <v>22</v>
      </c>
      <c r="B37" s="415" t="s">
        <v>242</v>
      </c>
      <c r="C37" s="405"/>
      <c r="D37" s="416">
        <v>55.863</v>
      </c>
      <c r="E37" s="413"/>
      <c r="F37" s="416">
        <v>47.100999999999999</v>
      </c>
      <c r="G37" s="416">
        <v>8.7620000000000005</v>
      </c>
    </row>
    <row r="38" spans="1:7" x14ac:dyDescent="0.2">
      <c r="A38" s="403">
        <v>23</v>
      </c>
      <c r="B38" s="405"/>
      <c r="C38" s="417" t="s">
        <v>79</v>
      </c>
      <c r="D38" s="418">
        <v>-2.9005727903363976E-4</v>
      </c>
      <c r="E38" s="413"/>
      <c r="F38" s="418">
        <v>-7.6788768509228333E-4</v>
      </c>
      <c r="G38" s="416"/>
    </row>
    <row r="39" spans="1:7" x14ac:dyDescent="0.2">
      <c r="A39" s="403">
        <v>24</v>
      </c>
      <c r="B39" s="419" t="s">
        <v>170</v>
      </c>
      <c r="C39" s="405"/>
      <c r="D39" s="410"/>
      <c r="E39" s="410"/>
      <c r="F39" s="420"/>
      <c r="G39" s="412">
        <v>21186878.600058544</v>
      </c>
    </row>
    <row r="40" spans="1:7" x14ac:dyDescent="0.2">
      <c r="A40" s="403">
        <v>25</v>
      </c>
      <c r="B40" s="419"/>
      <c r="C40" s="405"/>
      <c r="D40" s="410"/>
      <c r="E40" s="410"/>
      <c r="F40" s="413"/>
      <c r="G40" s="412"/>
    </row>
    <row r="41" spans="1:7" x14ac:dyDescent="0.2">
      <c r="A41" s="403">
        <v>26</v>
      </c>
      <c r="B41" s="419" t="s">
        <v>171</v>
      </c>
      <c r="C41" s="405"/>
      <c r="D41" s="421"/>
      <c r="E41" s="410"/>
      <c r="F41" s="413"/>
      <c r="G41" s="422">
        <v>185639430.29371297</v>
      </c>
    </row>
    <row r="42" spans="1:7" x14ac:dyDescent="0.2">
      <c r="A42" s="436" t="s">
        <v>243</v>
      </c>
      <c r="B42" s="92"/>
      <c r="C42" s="92"/>
      <c r="D42" s="101"/>
      <c r="E42" s="92"/>
      <c r="F42" s="97"/>
    </row>
    <row r="43" spans="1:7" x14ac:dyDescent="0.2">
      <c r="A43" s="403">
        <v>14</v>
      </c>
      <c r="B43" s="404" t="s">
        <v>75</v>
      </c>
      <c r="C43" s="405"/>
      <c r="D43" s="405"/>
      <c r="E43" s="405"/>
      <c r="F43" s="405"/>
      <c r="G43" s="405"/>
    </row>
    <row r="44" spans="1:7" x14ac:dyDescent="0.2">
      <c r="A44" s="403">
        <v>15</v>
      </c>
      <c r="B44" s="405"/>
      <c r="C44" s="406">
        <v>185639430.29371297</v>
      </c>
      <c r="D44" s="407"/>
      <c r="E44" s="405"/>
      <c r="F44" s="405"/>
      <c r="G44" s="405"/>
    </row>
    <row r="45" spans="1:7" x14ac:dyDescent="0.2">
      <c r="A45" s="403">
        <v>16</v>
      </c>
      <c r="B45" s="405" t="s">
        <v>76</v>
      </c>
      <c r="C45" s="405"/>
      <c r="D45" s="406">
        <f>+D16-D31</f>
        <v>-23562884.360971928</v>
      </c>
      <c r="E45" s="405"/>
      <c r="F45" s="406">
        <f>+F16-F31</f>
        <v>0</v>
      </c>
      <c r="G45" s="406">
        <f>+G16-G31</f>
        <v>-23562884.360971928</v>
      </c>
    </row>
    <row r="46" spans="1:7" x14ac:dyDescent="0.2">
      <c r="A46" s="403">
        <v>17</v>
      </c>
      <c r="B46" s="405" t="s">
        <v>77</v>
      </c>
      <c r="C46" s="405"/>
      <c r="D46" s="408">
        <f>+D17-D32</f>
        <v>0</v>
      </c>
      <c r="E46" s="405">
        <f>+E17-E32</f>
        <v>0</v>
      </c>
      <c r="F46" s="408">
        <f>+F17-F32</f>
        <v>0</v>
      </c>
      <c r="G46" s="409"/>
    </row>
    <row r="47" spans="1:7" x14ac:dyDescent="0.2">
      <c r="A47" s="403">
        <v>18</v>
      </c>
      <c r="B47" s="410"/>
      <c r="C47" s="405"/>
      <c r="D47" s="410"/>
      <c r="E47" s="410"/>
      <c r="F47" s="410"/>
      <c r="G47" s="406"/>
    </row>
    <row r="48" spans="1:7" x14ac:dyDescent="0.2">
      <c r="A48" s="403">
        <v>19</v>
      </c>
      <c r="B48" s="411" t="s">
        <v>78</v>
      </c>
      <c r="C48" s="405"/>
      <c r="D48" s="412">
        <f>+D19-D34</f>
        <v>-24741885</v>
      </c>
      <c r="E48" s="405">
        <f>+E19-E34</f>
        <v>0</v>
      </c>
      <c r="F48" s="412">
        <f>+F19-F34</f>
        <v>0</v>
      </c>
      <c r="G48" s="406">
        <f>+G19-G34</f>
        <v>0</v>
      </c>
    </row>
    <row r="49" spans="1:7" x14ac:dyDescent="0.2">
      <c r="A49" s="403">
        <v>20</v>
      </c>
      <c r="B49" s="405" t="s">
        <v>134</v>
      </c>
      <c r="C49" s="405"/>
      <c r="D49" s="413">
        <f t="shared" ref="D49:E53" si="0">+D20-D35</f>
        <v>0</v>
      </c>
      <c r="E49" s="413">
        <f t="shared" si="0"/>
        <v>0</v>
      </c>
      <c r="F49" s="413"/>
      <c r="G49" s="414"/>
    </row>
    <row r="50" spans="1:7" x14ac:dyDescent="0.2">
      <c r="A50" s="403">
        <v>21</v>
      </c>
      <c r="B50" s="405"/>
      <c r="C50" s="405"/>
      <c r="D50" s="413">
        <f t="shared" si="0"/>
        <v>0</v>
      </c>
      <c r="E50" s="413">
        <f t="shared" si="0"/>
        <v>0</v>
      </c>
      <c r="F50" s="413">
        <f t="shared" ref="F50:G53" si="1">+F21-F36</f>
        <v>0</v>
      </c>
      <c r="G50" s="414">
        <f t="shared" si="1"/>
        <v>0</v>
      </c>
    </row>
    <row r="51" spans="1:7" x14ac:dyDescent="0.2">
      <c r="A51" s="403">
        <v>22</v>
      </c>
      <c r="B51" s="415" t="s">
        <v>242</v>
      </c>
      <c r="C51" s="405"/>
      <c r="D51" s="416">
        <f t="shared" si="0"/>
        <v>-1.1679999999999993</v>
      </c>
      <c r="E51" s="413">
        <f t="shared" si="0"/>
        <v>0</v>
      </c>
      <c r="F51" s="416">
        <f t="shared" si="1"/>
        <v>0</v>
      </c>
      <c r="G51" s="416">
        <f t="shared" si="1"/>
        <v>-1.1680000000000001</v>
      </c>
    </row>
    <row r="52" spans="1:7" x14ac:dyDescent="0.2">
      <c r="A52" s="403">
        <v>23</v>
      </c>
      <c r="B52" s="405"/>
      <c r="C52" s="417" t="s">
        <v>79</v>
      </c>
      <c r="D52" s="418">
        <f t="shared" si="0"/>
        <v>1.7809259978540659E-4</v>
      </c>
      <c r="E52" s="413">
        <f t="shared" si="0"/>
        <v>0</v>
      </c>
      <c r="F52" s="418">
        <f t="shared" si="1"/>
        <v>0</v>
      </c>
      <c r="G52" s="416">
        <f t="shared" si="1"/>
        <v>0</v>
      </c>
    </row>
    <row r="53" spans="1:7" x14ac:dyDescent="0.2">
      <c r="A53" s="403">
        <v>24</v>
      </c>
      <c r="B53" s="419" t="s">
        <v>170</v>
      </c>
      <c r="C53" s="405"/>
      <c r="D53" s="410">
        <f t="shared" si="0"/>
        <v>0</v>
      </c>
      <c r="E53" s="410">
        <f t="shared" si="0"/>
        <v>0</v>
      </c>
      <c r="F53" s="420">
        <f t="shared" si="1"/>
        <v>0</v>
      </c>
      <c r="G53" s="412">
        <f t="shared" si="1"/>
        <v>0</v>
      </c>
    </row>
    <row r="54" spans="1:7" x14ac:dyDescent="0.2">
      <c r="A54" s="403">
        <v>25</v>
      </c>
      <c r="B54" s="419"/>
      <c r="C54" s="405"/>
      <c r="D54" s="410"/>
      <c r="E54" s="410"/>
      <c r="F54" s="413"/>
      <c r="G54" s="412"/>
    </row>
    <row r="55" spans="1:7" x14ac:dyDescent="0.2">
      <c r="A55" s="403">
        <v>26</v>
      </c>
      <c r="B55" s="419" t="s">
        <v>171</v>
      </c>
      <c r="C55" s="405"/>
      <c r="D55" s="421"/>
      <c r="E55" s="410"/>
      <c r="F55" s="413"/>
      <c r="G55" s="422">
        <f>+G26-G41</f>
        <v>-24746274.204868376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K64"/>
  <sheetViews>
    <sheetView topLeftCell="A15" workbookViewId="0">
      <selection activeCell="F58" sqref="F58"/>
    </sheetView>
  </sheetViews>
  <sheetFormatPr defaultRowHeight="15" x14ac:dyDescent="0.25"/>
  <cols>
    <col min="1" max="2" width="4" customWidth="1"/>
    <col min="3" max="3" width="62.140625" bestFit="1" customWidth="1"/>
    <col min="4" max="4" width="16.85546875" bestFit="1" customWidth="1"/>
    <col min="5" max="6" width="15.28515625" bestFit="1" customWidth="1"/>
    <col min="8" max="8" width="15" bestFit="1" customWidth="1"/>
    <col min="9" max="9" width="12" bestFit="1" customWidth="1"/>
    <col min="10" max="10" width="11.140625" bestFit="1" customWidth="1"/>
  </cols>
  <sheetData>
    <row r="3" spans="1:11" x14ac:dyDescent="0.25">
      <c r="A3" s="315"/>
      <c r="B3" s="315"/>
      <c r="C3" s="315"/>
      <c r="D3" s="315"/>
      <c r="E3" s="315"/>
      <c r="F3" s="315"/>
      <c r="G3" s="315"/>
      <c r="H3" s="103"/>
      <c r="I3" s="103"/>
      <c r="J3" s="103"/>
      <c r="K3" s="103"/>
    </row>
    <row r="4" spans="1:11" x14ac:dyDescent="0.25">
      <c r="A4" s="315"/>
      <c r="B4" s="315"/>
      <c r="C4" s="315"/>
      <c r="D4" s="316">
        <v>2024</v>
      </c>
      <c r="E4" s="316">
        <v>2024</v>
      </c>
      <c r="F4" s="315"/>
      <c r="G4" s="315"/>
      <c r="H4" s="103"/>
      <c r="I4" s="103"/>
      <c r="J4" s="103"/>
      <c r="K4" s="103"/>
    </row>
    <row r="5" spans="1:11" x14ac:dyDescent="0.25">
      <c r="A5" s="315"/>
      <c r="B5" s="317" t="s">
        <v>235</v>
      </c>
      <c r="C5" s="317" t="s">
        <v>178</v>
      </c>
      <c r="D5" s="317" t="s">
        <v>177</v>
      </c>
      <c r="E5" s="317" t="s">
        <v>179</v>
      </c>
      <c r="F5" s="317" t="s">
        <v>180</v>
      </c>
      <c r="G5" s="318"/>
      <c r="H5" s="103"/>
      <c r="I5" s="103"/>
      <c r="J5" s="103"/>
      <c r="K5" s="103"/>
    </row>
    <row r="6" spans="1:11" x14ac:dyDescent="0.25">
      <c r="A6" s="315"/>
      <c r="B6" s="315"/>
      <c r="C6" s="315"/>
      <c r="D6" s="319" t="s">
        <v>236</v>
      </c>
      <c r="E6" s="319" t="s">
        <v>237</v>
      </c>
      <c r="F6" s="319" t="s">
        <v>238</v>
      </c>
      <c r="G6" s="315"/>
      <c r="H6" s="103"/>
      <c r="I6" s="103"/>
      <c r="J6" s="103"/>
      <c r="K6" s="103"/>
    </row>
    <row r="7" spans="1:11" x14ac:dyDescent="0.25">
      <c r="A7" s="315"/>
      <c r="B7" s="315">
        <v>1</v>
      </c>
      <c r="C7" s="315" t="s">
        <v>241</v>
      </c>
      <c r="D7" s="320">
        <f>'[2]2024 (NEW)'!$C$18*1000</f>
        <v>1116115968.6859498</v>
      </c>
      <c r="E7" s="320">
        <f>'[2]2024 (NEW)'!$D$18*1000</f>
        <v>933043533.49337506</v>
      </c>
      <c r="F7" s="320">
        <f>D7-E7</f>
        <v>183072435.19257474</v>
      </c>
      <c r="G7" s="315"/>
      <c r="H7" s="103"/>
      <c r="I7" s="103"/>
      <c r="J7" s="103"/>
      <c r="K7" s="103"/>
    </row>
    <row r="8" spans="1:11" x14ac:dyDescent="0.25">
      <c r="A8" s="315"/>
      <c r="B8" s="315">
        <v>2</v>
      </c>
      <c r="C8" s="315" t="s">
        <v>173</v>
      </c>
      <c r="D8" s="321">
        <f>'Exhibit A-1 2024'!G16</f>
        <v>4105641.6000000006</v>
      </c>
      <c r="E8" s="321">
        <f>'Exhibit A-1 22GRC'!G15</f>
        <v>4094424.0000000005</v>
      </c>
      <c r="F8" s="321">
        <f t="shared" ref="F8:F13" si="0">D8-E8</f>
        <v>11217.600000000093</v>
      </c>
      <c r="G8" s="315"/>
      <c r="H8" s="103"/>
      <c r="I8" s="103"/>
      <c r="J8" s="103"/>
      <c r="K8" s="103"/>
    </row>
    <row r="9" spans="1:11" x14ac:dyDescent="0.25">
      <c r="A9" s="315"/>
      <c r="B9" s="315">
        <v>3</v>
      </c>
      <c r="C9" s="315" t="s">
        <v>174</v>
      </c>
      <c r="D9" s="321">
        <f>-'[2]2024 (NEW)'!$C$17*1000</f>
        <v>-17153942.620853931</v>
      </c>
      <c r="E9" s="321">
        <f>-PKW!C16*1000</f>
        <v>-16711586.023277484</v>
      </c>
      <c r="F9" s="321">
        <f t="shared" si="0"/>
        <v>-442356.59757644683</v>
      </c>
      <c r="G9" s="315"/>
      <c r="H9" s="103"/>
      <c r="I9" s="103"/>
      <c r="J9" s="103"/>
      <c r="K9" s="103"/>
    </row>
    <row r="10" spans="1:11" x14ac:dyDescent="0.25">
      <c r="A10" s="315"/>
      <c r="B10" s="315">
        <v>4</v>
      </c>
      <c r="C10" s="315" t="s">
        <v>175</v>
      </c>
      <c r="D10" s="321">
        <f>'Exhibit A-1 2024'!G27</f>
        <v>533893.21830399998</v>
      </c>
      <c r="E10" s="321">
        <f>'Exhibit A-1 22GRC'!G25</f>
        <v>521380.09600000002</v>
      </c>
      <c r="F10" s="321">
        <f t="shared" si="0"/>
        <v>12513.12230399996</v>
      </c>
      <c r="G10" s="315"/>
      <c r="H10" s="103"/>
      <c r="I10" s="103"/>
      <c r="J10" s="103"/>
      <c r="K10" s="103"/>
    </row>
    <row r="11" spans="1:11" ht="17.25" x14ac:dyDescent="0.25">
      <c r="A11" s="315"/>
      <c r="B11" s="315">
        <v>5</v>
      </c>
      <c r="C11" s="315" t="s">
        <v>234</v>
      </c>
      <c r="D11" s="321"/>
      <c r="E11" s="321">
        <f>'Exhibit A-1 22GRC'!O36-'Exhibit A-1 22GRC'!G36</f>
        <v>8917986.869104147</v>
      </c>
      <c r="F11" s="321">
        <f t="shared" si="0"/>
        <v>-8917986.869104147</v>
      </c>
      <c r="G11" s="315"/>
      <c r="H11" s="103"/>
      <c r="I11" s="103"/>
      <c r="J11" s="103"/>
      <c r="K11" s="103"/>
    </row>
    <row r="12" spans="1:11" x14ac:dyDescent="0.25">
      <c r="A12" s="315"/>
      <c r="B12" s="315">
        <v>6</v>
      </c>
      <c r="C12" s="315" t="s">
        <v>176</v>
      </c>
      <c r="D12" s="322">
        <f>SUM(D7:D11)</f>
        <v>1103601560.8833997</v>
      </c>
      <c r="E12" s="322">
        <f>SUM(E7:E11)</f>
        <v>929865738.43520164</v>
      </c>
      <c r="F12" s="322">
        <f>SUM(F7:F11)</f>
        <v>173735822.44819814</v>
      </c>
      <c r="G12" s="315"/>
      <c r="H12" s="313">
        <f>Deficiency!E16</f>
        <v>0</v>
      </c>
      <c r="I12" s="313">
        <f>Deficiency!F16-E12</f>
        <v>0</v>
      </c>
      <c r="J12" s="313">
        <f>Deficiency!G16-F12</f>
        <v>0</v>
      </c>
      <c r="K12" s="103"/>
    </row>
    <row r="13" spans="1:11" x14ac:dyDescent="0.25">
      <c r="A13" s="315"/>
      <c r="B13" s="315">
        <v>7</v>
      </c>
      <c r="C13" s="315" t="s">
        <v>230</v>
      </c>
      <c r="D13" s="321">
        <f>D12/Deficiency!D17-D12</f>
        <v>55220173.276171923</v>
      </c>
      <c r="E13" s="321">
        <f>'Exhibit A-1 22GRC'!O36/'Exhibit A-1 22GRC'!O37-'Exhibit A-1 22GRC'!O36</f>
        <v>46527070.112935901</v>
      </c>
      <c r="F13" s="321">
        <f t="shared" si="0"/>
        <v>8693103.163236022</v>
      </c>
      <c r="G13" s="315"/>
      <c r="H13" s="103"/>
      <c r="I13" s="103"/>
      <c r="J13" s="103"/>
      <c r="K13" s="103"/>
    </row>
    <row r="14" spans="1:11" x14ac:dyDescent="0.25">
      <c r="A14" s="315"/>
      <c r="B14" s="315">
        <v>8</v>
      </c>
      <c r="C14" s="315" t="s">
        <v>231</v>
      </c>
      <c r="D14" s="322">
        <f>SUM(D12:D13)</f>
        <v>1158821734.1595716</v>
      </c>
      <c r="E14" s="322">
        <f t="shared" ref="E14:F14" si="1">SUM(E12:E13)</f>
        <v>976392808.54813755</v>
      </c>
      <c r="F14" s="322">
        <f t="shared" si="1"/>
        <v>182428925.61143416</v>
      </c>
      <c r="G14" s="315"/>
      <c r="H14" s="103"/>
      <c r="I14" s="103"/>
      <c r="J14" s="103"/>
      <c r="K14" s="103"/>
    </row>
    <row r="15" spans="1:11" x14ac:dyDescent="0.25">
      <c r="A15" s="315"/>
      <c r="B15" s="315">
        <v>9</v>
      </c>
      <c r="C15" s="315" t="s">
        <v>232</v>
      </c>
      <c r="D15" s="321">
        <f>Deficiency!G26-Deficiency!G16-F13</f>
        <v>-21535769.522589743</v>
      </c>
      <c r="E15" s="321"/>
      <c r="F15" s="321">
        <f>SUM(D15:E15)</f>
        <v>-21535769.522589743</v>
      </c>
      <c r="G15" s="315"/>
      <c r="H15" s="103"/>
      <c r="I15" s="103"/>
      <c r="J15" s="103"/>
      <c r="K15" s="103"/>
    </row>
    <row r="16" spans="1:11" ht="15.75" thickBot="1" x14ac:dyDescent="0.3">
      <c r="A16" s="315"/>
      <c r="B16" s="315">
        <v>10</v>
      </c>
      <c r="C16" s="315" t="s">
        <v>233</v>
      </c>
      <c r="D16" s="323">
        <f>SUM(D14:D15)</f>
        <v>1137285964.636982</v>
      </c>
      <c r="E16" s="323">
        <f>SUM(E14:E15)</f>
        <v>976392808.54813755</v>
      </c>
      <c r="F16" s="323">
        <f>SUM(F14:F15)</f>
        <v>160893156.08884442</v>
      </c>
      <c r="G16" s="315"/>
      <c r="H16" s="103"/>
      <c r="I16" s="103"/>
      <c r="J16" s="103"/>
      <c r="K16" s="103"/>
    </row>
    <row r="17" spans="1:11" ht="15.75" thickTop="1" x14ac:dyDescent="0.25">
      <c r="A17" s="315"/>
      <c r="B17" s="315">
        <v>11</v>
      </c>
      <c r="C17" s="315"/>
      <c r="D17" s="321"/>
      <c r="E17" s="321"/>
      <c r="F17" s="321"/>
      <c r="G17" s="315"/>
      <c r="H17" s="103"/>
      <c r="I17" s="103"/>
      <c r="J17" s="103"/>
      <c r="K17" s="103"/>
    </row>
    <row r="18" spans="1:11" ht="17.25" x14ac:dyDescent="0.25">
      <c r="A18" s="315"/>
      <c r="B18" s="315">
        <v>12</v>
      </c>
      <c r="C18" s="324" t="s">
        <v>239</v>
      </c>
      <c r="D18" s="321"/>
      <c r="E18" s="321"/>
      <c r="F18" s="321"/>
      <c r="G18" s="315"/>
      <c r="H18" s="103"/>
      <c r="I18" s="103"/>
      <c r="J18" s="103"/>
      <c r="K18" s="103"/>
    </row>
    <row r="19" spans="1:11" x14ac:dyDescent="0.25">
      <c r="A19" s="315"/>
      <c r="B19" s="315">
        <v>13</v>
      </c>
      <c r="C19" s="325" t="s">
        <v>240</v>
      </c>
      <c r="D19" s="321"/>
      <c r="E19" s="321"/>
      <c r="F19" s="321"/>
      <c r="G19" s="315"/>
      <c r="H19" s="103"/>
      <c r="I19" s="103"/>
      <c r="J19" s="103"/>
      <c r="K19" s="103"/>
    </row>
    <row r="20" spans="1:11" x14ac:dyDescent="0.25">
      <c r="A20" s="315"/>
      <c r="B20" s="315"/>
      <c r="C20" s="325"/>
      <c r="D20" s="321"/>
      <c r="E20" s="321"/>
      <c r="F20" s="321"/>
      <c r="G20" s="315"/>
      <c r="H20" s="103"/>
      <c r="I20" s="103"/>
      <c r="J20" s="103"/>
      <c r="K20" s="103"/>
    </row>
    <row r="21" spans="1:11" x14ac:dyDescent="0.25">
      <c r="A21" s="103"/>
      <c r="B21" s="103"/>
      <c r="C21" s="314"/>
      <c r="D21" s="312"/>
      <c r="E21" s="312"/>
      <c r="F21" s="312"/>
      <c r="G21" s="103"/>
      <c r="H21" s="103"/>
      <c r="I21" s="103"/>
      <c r="J21" s="103"/>
      <c r="K21" s="103"/>
    </row>
    <row r="22" spans="1:11" x14ac:dyDescent="0.25">
      <c r="A22" s="103"/>
      <c r="B22" s="103"/>
      <c r="C22" s="103"/>
      <c r="D22" s="313">
        <f>'Exhibit A-1 2024'!G40-D14</f>
        <v>0</v>
      </c>
      <c r="E22" s="313">
        <f>'Exhibit A-1 22GRC'!O38-E14</f>
        <v>0</v>
      </c>
      <c r="F22" s="313">
        <f>Deficiency!G26-F16</f>
        <v>0</v>
      </c>
      <c r="G22" s="103"/>
      <c r="H22" s="103"/>
      <c r="I22" s="103"/>
      <c r="J22" s="103"/>
    </row>
    <row r="23" spans="1:11" x14ac:dyDescent="0.25">
      <c r="D23" s="218"/>
      <c r="E23" s="218"/>
      <c r="F23" s="218"/>
    </row>
    <row r="24" spans="1:11" x14ac:dyDescent="0.25">
      <c r="A24" s="436" t="s">
        <v>258</v>
      </c>
      <c r="D24" s="218"/>
      <c r="E24" s="218"/>
      <c r="F24" s="218"/>
    </row>
    <row r="25" spans="1:11" x14ac:dyDescent="0.25">
      <c r="D25" s="218"/>
      <c r="E25" s="218"/>
      <c r="F25" s="218"/>
    </row>
    <row r="26" spans="1:11" x14ac:dyDescent="0.25">
      <c r="A26" s="386"/>
      <c r="B26" s="386"/>
      <c r="C26" s="386"/>
      <c r="D26" s="386"/>
      <c r="E26" s="386"/>
      <c r="F26" s="386"/>
      <c r="G26" s="386"/>
    </row>
    <row r="27" spans="1:11" x14ac:dyDescent="0.25">
      <c r="A27" s="386"/>
      <c r="B27" s="386"/>
      <c r="C27" s="386"/>
      <c r="D27" s="387">
        <v>2024</v>
      </c>
      <c r="E27" s="387">
        <v>2024</v>
      </c>
      <c r="F27" s="386"/>
      <c r="G27" s="386"/>
    </row>
    <row r="28" spans="1:11" x14ac:dyDescent="0.25">
      <c r="A28" s="386"/>
      <c r="B28" s="388" t="s">
        <v>235</v>
      </c>
      <c r="C28" s="388" t="s">
        <v>178</v>
      </c>
      <c r="D28" s="388" t="s">
        <v>177</v>
      </c>
      <c r="E28" s="388" t="s">
        <v>179</v>
      </c>
      <c r="F28" s="388" t="s">
        <v>180</v>
      </c>
      <c r="G28" s="389"/>
    </row>
    <row r="29" spans="1:11" x14ac:dyDescent="0.25">
      <c r="A29" s="386"/>
      <c r="B29" s="386"/>
      <c r="C29" s="386"/>
      <c r="D29" s="390" t="s">
        <v>236</v>
      </c>
      <c r="E29" s="390" t="s">
        <v>237</v>
      </c>
      <c r="F29" s="390" t="s">
        <v>238</v>
      </c>
      <c r="G29" s="386"/>
    </row>
    <row r="30" spans="1:11" x14ac:dyDescent="0.25">
      <c r="A30" s="386"/>
      <c r="B30" s="386">
        <v>1</v>
      </c>
      <c r="C30" s="386" t="s">
        <v>241</v>
      </c>
      <c r="D30" s="391">
        <v>1139678853.0469213</v>
      </c>
      <c r="E30" s="391">
        <v>933043533.49337506</v>
      </c>
      <c r="F30" s="391">
        <v>206635319.55354619</v>
      </c>
      <c r="G30" s="386"/>
    </row>
    <row r="31" spans="1:11" x14ac:dyDescent="0.25">
      <c r="A31" s="386"/>
      <c r="B31" s="386">
        <v>2</v>
      </c>
      <c r="C31" s="386" t="s">
        <v>173</v>
      </c>
      <c r="D31" s="392">
        <v>4105641.6000000006</v>
      </c>
      <c r="E31" s="392">
        <v>4094424.0000000005</v>
      </c>
      <c r="F31" s="392">
        <v>11217.600000000093</v>
      </c>
      <c r="G31" s="386"/>
    </row>
    <row r="32" spans="1:11" x14ac:dyDescent="0.25">
      <c r="A32" s="386"/>
      <c r="B32" s="386">
        <v>3</v>
      </c>
      <c r="C32" s="386" t="s">
        <v>174</v>
      </c>
      <c r="D32" s="392">
        <v>-17153942.620853931</v>
      </c>
      <c r="E32" s="392">
        <v>-16711586.023277484</v>
      </c>
      <c r="F32" s="392">
        <v>-442356.59757644683</v>
      </c>
      <c r="G32" s="386"/>
    </row>
    <row r="33" spans="1:7" x14ac:dyDescent="0.25">
      <c r="A33" s="386"/>
      <c r="B33" s="386">
        <v>4</v>
      </c>
      <c r="C33" s="386" t="s">
        <v>175</v>
      </c>
      <c r="D33" s="392">
        <v>533893.21830399998</v>
      </c>
      <c r="E33" s="392">
        <v>521380.09600000002</v>
      </c>
      <c r="F33" s="392">
        <v>12513.12230399996</v>
      </c>
      <c r="G33" s="386"/>
    </row>
    <row r="34" spans="1:7" x14ac:dyDescent="0.25">
      <c r="A34" s="386"/>
      <c r="B34" s="386">
        <v>5</v>
      </c>
      <c r="C34" s="386" t="s">
        <v>245</v>
      </c>
      <c r="D34" s="392"/>
      <c r="E34" s="392">
        <v>8917986.869104147</v>
      </c>
      <c r="F34" s="392">
        <v>-8917986.869104147</v>
      </c>
      <c r="G34" s="386"/>
    </row>
    <row r="35" spans="1:7" x14ac:dyDescent="0.25">
      <c r="A35" s="386"/>
      <c r="B35" s="386">
        <v>6</v>
      </c>
      <c r="C35" s="386" t="s">
        <v>176</v>
      </c>
      <c r="D35" s="393">
        <v>1127164445.2443712</v>
      </c>
      <c r="E35" s="393">
        <v>929865738.43520164</v>
      </c>
      <c r="F35" s="393">
        <v>197298706.80916959</v>
      </c>
      <c r="G35" s="386"/>
    </row>
    <row r="36" spans="1:7" x14ac:dyDescent="0.25">
      <c r="A36" s="386"/>
      <c r="B36" s="386">
        <v>7</v>
      </c>
      <c r="C36" s="386" t="s">
        <v>230</v>
      </c>
      <c r="D36" s="392">
        <v>56399173.563429356</v>
      </c>
      <c r="E36" s="392">
        <v>46527070.112935901</v>
      </c>
      <c r="F36" s="392">
        <v>9872103.4504934549</v>
      </c>
      <c r="G36" s="386"/>
    </row>
    <row r="37" spans="1:7" x14ac:dyDescent="0.25">
      <c r="A37" s="386"/>
      <c r="B37" s="386">
        <v>8</v>
      </c>
      <c r="C37" s="386" t="s">
        <v>231</v>
      </c>
      <c r="D37" s="393">
        <v>1183563618.8078005</v>
      </c>
      <c r="E37" s="393">
        <v>976392808.54813755</v>
      </c>
      <c r="F37" s="393">
        <v>207170810.25966305</v>
      </c>
      <c r="G37" s="386"/>
    </row>
    <row r="38" spans="1:7" x14ac:dyDescent="0.25">
      <c r="A38" s="386"/>
      <c r="B38" s="386">
        <v>9</v>
      </c>
      <c r="C38" s="386" t="s">
        <v>232</v>
      </c>
      <c r="D38" s="392">
        <v>-21531379.965950727</v>
      </c>
      <c r="E38" s="392"/>
      <c r="F38" s="392">
        <v>-21531379.965950727</v>
      </c>
      <c r="G38" s="386"/>
    </row>
    <row r="39" spans="1:7" ht="15.75" thickBot="1" x14ac:dyDescent="0.3">
      <c r="A39" s="386"/>
      <c r="B39" s="386">
        <v>10</v>
      </c>
      <c r="C39" s="386" t="s">
        <v>233</v>
      </c>
      <c r="D39" s="394">
        <v>1162032238.8418498</v>
      </c>
      <c r="E39" s="394">
        <v>976392808.54813755</v>
      </c>
      <c r="F39" s="394">
        <v>185639430.29371232</v>
      </c>
      <c r="G39" s="386"/>
    </row>
    <row r="40" spans="1:7" ht="15.75" thickTop="1" x14ac:dyDescent="0.25">
      <c r="A40" s="386"/>
      <c r="B40" s="386">
        <v>11</v>
      </c>
      <c r="C40" s="386"/>
      <c r="D40" s="392"/>
      <c r="E40" s="392"/>
      <c r="F40" s="392"/>
      <c r="G40" s="386"/>
    </row>
    <row r="41" spans="1:7" x14ac:dyDescent="0.25">
      <c r="A41" s="386"/>
      <c r="B41" s="386">
        <v>12</v>
      </c>
      <c r="C41" s="395" t="s">
        <v>246</v>
      </c>
      <c r="D41" s="392"/>
      <c r="E41" s="392"/>
      <c r="F41" s="392"/>
      <c r="G41" s="386"/>
    </row>
    <row r="42" spans="1:7" x14ac:dyDescent="0.25">
      <c r="A42" s="386"/>
      <c r="B42" s="386">
        <v>13</v>
      </c>
      <c r="C42" s="396" t="s">
        <v>240</v>
      </c>
      <c r="D42" s="392"/>
      <c r="E42" s="392"/>
      <c r="F42" s="392"/>
      <c r="G42" s="386"/>
    </row>
    <row r="43" spans="1:7" x14ac:dyDescent="0.25">
      <c r="A43" s="386"/>
      <c r="B43" s="386"/>
      <c r="C43" s="396"/>
      <c r="D43" s="392"/>
      <c r="E43" s="392"/>
      <c r="F43" s="392"/>
      <c r="G43" s="386"/>
    </row>
    <row r="44" spans="1:7" x14ac:dyDescent="0.25">
      <c r="A44" s="386"/>
      <c r="B44" s="386"/>
      <c r="C44" s="396"/>
      <c r="D44" s="392"/>
      <c r="E44" s="392"/>
      <c r="F44" s="392"/>
      <c r="G44" s="386"/>
    </row>
    <row r="45" spans="1:7" x14ac:dyDescent="0.25">
      <c r="A45" s="436" t="s">
        <v>243</v>
      </c>
    </row>
    <row r="46" spans="1:7" x14ac:dyDescent="0.25">
      <c r="A46" s="386"/>
      <c r="B46" s="386"/>
      <c r="C46" s="386"/>
      <c r="D46" s="386"/>
      <c r="E46" s="386"/>
      <c r="F46" s="386"/>
      <c r="G46" s="386"/>
    </row>
    <row r="47" spans="1:7" x14ac:dyDescent="0.25">
      <c r="A47" s="386"/>
      <c r="B47" s="386"/>
      <c r="C47" s="386"/>
      <c r="D47" s="387">
        <v>2024</v>
      </c>
      <c r="E47" s="387">
        <v>2024</v>
      </c>
      <c r="F47" s="386"/>
      <c r="G47" s="386"/>
    </row>
    <row r="48" spans="1:7" x14ac:dyDescent="0.25">
      <c r="A48" s="386"/>
      <c r="B48" s="388" t="s">
        <v>235</v>
      </c>
      <c r="C48" s="388" t="s">
        <v>178</v>
      </c>
      <c r="D48" s="388" t="s">
        <v>177</v>
      </c>
      <c r="E48" s="388" t="s">
        <v>179</v>
      </c>
      <c r="F48" s="388" t="s">
        <v>180</v>
      </c>
      <c r="G48" s="389"/>
    </row>
    <row r="49" spans="1:8" x14ac:dyDescent="0.25">
      <c r="A49" s="386"/>
      <c r="B49" s="386"/>
      <c r="C49" s="386"/>
      <c r="D49" s="390" t="s">
        <v>236</v>
      </c>
      <c r="E49" s="390" t="s">
        <v>237</v>
      </c>
      <c r="F49" s="390" t="s">
        <v>238</v>
      </c>
      <c r="G49" s="386"/>
    </row>
    <row r="50" spans="1:8" x14ac:dyDescent="0.25">
      <c r="A50" s="386"/>
      <c r="B50" s="386">
        <v>1</v>
      </c>
      <c r="C50" s="386" t="s">
        <v>241</v>
      </c>
      <c r="D50" s="391">
        <f>+D7-D30</f>
        <v>-23562884.360971451</v>
      </c>
      <c r="E50" s="391">
        <f t="shared" ref="E50:F50" si="2">+E7-E30</f>
        <v>0</v>
      </c>
      <c r="F50" s="391">
        <f t="shared" si="2"/>
        <v>-23562884.360971451</v>
      </c>
      <c r="G50" s="386"/>
    </row>
    <row r="51" spans="1:8" x14ac:dyDescent="0.25">
      <c r="A51" s="386"/>
      <c r="B51" s="386">
        <v>2</v>
      </c>
      <c r="C51" s="386" t="s">
        <v>173</v>
      </c>
      <c r="D51" s="392">
        <f t="shared" ref="D51:F51" si="3">+D8-D31</f>
        <v>0</v>
      </c>
      <c r="E51" s="392">
        <f t="shared" si="3"/>
        <v>0</v>
      </c>
      <c r="F51" s="392">
        <f t="shared" si="3"/>
        <v>0</v>
      </c>
      <c r="G51" s="386"/>
    </row>
    <row r="52" spans="1:8" x14ac:dyDescent="0.25">
      <c r="A52" s="386"/>
      <c r="B52" s="386">
        <v>3</v>
      </c>
      <c r="C52" s="386" t="s">
        <v>174</v>
      </c>
      <c r="D52" s="392">
        <f t="shared" ref="D52:F52" si="4">+D9-D32</f>
        <v>0</v>
      </c>
      <c r="E52" s="392">
        <f t="shared" si="4"/>
        <v>0</v>
      </c>
      <c r="F52" s="392">
        <f t="shared" si="4"/>
        <v>0</v>
      </c>
      <c r="G52" s="386"/>
    </row>
    <row r="53" spans="1:8" x14ac:dyDescent="0.25">
      <c r="A53" s="386"/>
      <c r="B53" s="386">
        <v>4</v>
      </c>
      <c r="C53" s="386" t="s">
        <v>175</v>
      </c>
      <c r="D53" s="392">
        <f t="shared" ref="D53:F53" si="5">+D10-D33</f>
        <v>0</v>
      </c>
      <c r="E53" s="392">
        <f t="shared" si="5"/>
        <v>0</v>
      </c>
      <c r="F53" s="392">
        <f t="shared" si="5"/>
        <v>0</v>
      </c>
      <c r="G53" s="386"/>
    </row>
    <row r="54" spans="1:8" x14ac:dyDescent="0.25">
      <c r="A54" s="386"/>
      <c r="B54" s="386">
        <v>5</v>
      </c>
      <c r="C54" s="386" t="s">
        <v>245</v>
      </c>
      <c r="D54" s="392">
        <f t="shared" ref="D54:F54" si="6">+D11-D34</f>
        <v>0</v>
      </c>
      <c r="E54" s="392">
        <f t="shared" si="6"/>
        <v>0</v>
      </c>
      <c r="F54" s="392">
        <f t="shared" si="6"/>
        <v>0</v>
      </c>
      <c r="G54" s="386"/>
    </row>
    <row r="55" spans="1:8" x14ac:dyDescent="0.25">
      <c r="A55" s="386"/>
      <c r="B55" s="386">
        <v>6</v>
      </c>
      <c r="C55" s="386" t="s">
        <v>176</v>
      </c>
      <c r="D55" s="393">
        <f t="shared" ref="D55:F55" si="7">+D12-D35</f>
        <v>-23562884.360971451</v>
      </c>
      <c r="E55" s="393">
        <f t="shared" si="7"/>
        <v>0</v>
      </c>
      <c r="F55" s="393">
        <f t="shared" si="7"/>
        <v>-23562884.360971451</v>
      </c>
      <c r="G55" s="386"/>
    </row>
    <row r="56" spans="1:8" x14ac:dyDescent="0.25">
      <c r="A56" s="386"/>
      <c r="B56" s="386">
        <v>7</v>
      </c>
      <c r="C56" s="386" t="s">
        <v>230</v>
      </c>
      <c r="D56" s="392">
        <f t="shared" ref="D56:F56" si="8">+D13-D36</f>
        <v>-1179000.2872574329</v>
      </c>
      <c r="E56" s="392">
        <f t="shared" si="8"/>
        <v>0</v>
      </c>
      <c r="F56" s="392">
        <f t="shared" si="8"/>
        <v>-1179000.2872574329</v>
      </c>
      <c r="G56" s="386"/>
    </row>
    <row r="57" spans="1:8" x14ac:dyDescent="0.25">
      <c r="A57" s="386"/>
      <c r="B57" s="386">
        <v>8</v>
      </c>
      <c r="C57" s="386" t="s">
        <v>231</v>
      </c>
      <c r="D57" s="393">
        <f t="shared" ref="D57:F57" si="9">+D14-D37</f>
        <v>-24741884.648228884</v>
      </c>
      <c r="E57" s="393">
        <f t="shared" si="9"/>
        <v>0</v>
      </c>
      <c r="F57" s="393">
        <f t="shared" si="9"/>
        <v>-24741884.648228884</v>
      </c>
      <c r="G57" s="386"/>
    </row>
    <row r="58" spans="1:8" x14ac:dyDescent="0.25">
      <c r="A58" s="386"/>
      <c r="B58" s="386">
        <v>9</v>
      </c>
      <c r="C58" s="386" t="s">
        <v>232</v>
      </c>
      <c r="D58" s="392">
        <f t="shared" ref="D58:F58" si="10">+D15-D38</f>
        <v>-4389.5566390156746</v>
      </c>
      <c r="E58" s="392">
        <f t="shared" si="10"/>
        <v>0</v>
      </c>
      <c r="F58" s="392">
        <f t="shared" si="10"/>
        <v>-4389.5566390156746</v>
      </c>
      <c r="G58" s="386"/>
    </row>
    <row r="59" spans="1:8" ht="15.75" thickBot="1" x14ac:dyDescent="0.3">
      <c r="A59" s="386"/>
      <c r="B59" s="386">
        <v>10</v>
      </c>
      <c r="C59" s="386" t="s">
        <v>233</v>
      </c>
      <c r="D59" s="394">
        <f t="shared" ref="D59:F59" si="11">+D16-D39</f>
        <v>-24746274.20486784</v>
      </c>
      <c r="E59" s="394">
        <f t="shared" si="11"/>
        <v>0</v>
      </c>
      <c r="F59" s="394">
        <f t="shared" si="11"/>
        <v>-24746274.204867899</v>
      </c>
      <c r="G59" s="386"/>
      <c r="H59" s="397">
        <f>+F59-F58</f>
        <v>-24741884.648228884</v>
      </c>
    </row>
    <row r="60" spans="1:8" ht="15.75" thickTop="1" x14ac:dyDescent="0.25">
      <c r="A60" s="386"/>
      <c r="B60" s="386">
        <v>11</v>
      </c>
      <c r="C60" s="386"/>
      <c r="D60" s="392"/>
      <c r="E60" s="392"/>
      <c r="F60" s="392"/>
      <c r="G60" s="386"/>
      <c r="H60" s="398">
        <f>+'Exhibit A-1 2024'!T40</f>
        <v>-24741884.648229361</v>
      </c>
    </row>
    <row r="61" spans="1:8" x14ac:dyDescent="0.25">
      <c r="A61" s="386"/>
      <c r="B61" s="386">
        <v>12</v>
      </c>
      <c r="C61" s="395" t="s">
        <v>246</v>
      </c>
      <c r="D61" s="392"/>
      <c r="E61" s="392"/>
      <c r="F61" s="392"/>
      <c r="G61" s="386"/>
    </row>
    <row r="62" spans="1:8" x14ac:dyDescent="0.25">
      <c r="A62" s="386"/>
      <c r="B62" s="386">
        <v>13</v>
      </c>
      <c r="C62" s="396" t="s">
        <v>240</v>
      </c>
      <c r="D62" s="392"/>
      <c r="E62" s="392"/>
      <c r="F62" s="392"/>
      <c r="G62" s="386"/>
    </row>
    <row r="63" spans="1:8" x14ac:dyDescent="0.25">
      <c r="A63" s="386"/>
      <c r="B63" s="386"/>
      <c r="C63" s="396"/>
      <c r="D63" s="392"/>
      <c r="E63" s="392"/>
      <c r="F63" s="392"/>
      <c r="G63" s="386"/>
    </row>
    <row r="64" spans="1:8" x14ac:dyDescent="0.25">
      <c r="A64" s="386"/>
      <c r="B64" s="386"/>
      <c r="C64" s="396"/>
      <c r="D64" s="392"/>
      <c r="E64" s="392"/>
      <c r="F64" s="392"/>
      <c r="G64" s="386"/>
    </row>
  </sheetData>
  <pageMargins left="0.7" right="0.7" top="0.75" bottom="0.75" header="0.3" footer="0.3"/>
  <pageSetup orientation="portrait" r:id="rId1"/>
  <ignoredErrors>
    <ignoredError sqref="F12 F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49"/>
  <sheetViews>
    <sheetView zoomScale="75" zoomScaleNormal="75" workbookViewId="0">
      <pane xSplit="2" ySplit="13" topLeftCell="C14" activePane="bottomRight" state="frozen"/>
      <selection activeCell="F53" sqref="F53"/>
      <selection pane="topRight" activeCell="F53" sqref="F53"/>
      <selection pane="bottomLeft" activeCell="F53" sqref="F53"/>
      <selection pane="bottomRight" activeCell="A5" sqref="A5"/>
    </sheetView>
  </sheetViews>
  <sheetFormatPr defaultColWidth="9.140625" defaultRowHeight="15" x14ac:dyDescent="0.25"/>
  <cols>
    <col min="1" max="1" width="7.42578125" style="1" customWidth="1"/>
    <col min="2" max="2" width="47.85546875" style="1" customWidth="1"/>
    <col min="3" max="3" width="18.5703125" style="1" bestFit="1" customWidth="1"/>
    <col min="4" max="4" width="16.140625" style="1" bestFit="1" customWidth="1"/>
    <col min="5" max="5" width="9.42578125" style="1" bestFit="1" customWidth="1"/>
    <col min="6" max="6" width="15.5703125" style="1" bestFit="1" customWidth="1"/>
    <col min="7" max="7" width="17.28515625" style="1" bestFit="1" customWidth="1"/>
    <col min="8" max="37" width="17.28515625" style="1" customWidth="1"/>
    <col min="38" max="38" width="9.140625" style="1" customWidth="1"/>
    <col min="39" max="39" width="12.85546875" bestFit="1" customWidth="1"/>
    <col min="40" max="40" width="12.85546875" customWidth="1"/>
    <col min="42" max="42" width="15.42578125" customWidth="1"/>
    <col min="43" max="43" width="13.42578125" bestFit="1" customWidth="1"/>
    <col min="44" max="44" width="16" bestFit="1" customWidth="1"/>
    <col min="45" max="16384" width="9.140625" style="1"/>
  </cols>
  <sheetData>
    <row r="1" spans="1:44" ht="20.25" x14ac:dyDescent="0.3">
      <c r="A1" s="61" t="s">
        <v>67</v>
      </c>
      <c r="B1" s="60"/>
      <c r="C1" s="60"/>
      <c r="D1" s="60"/>
      <c r="E1" s="59"/>
      <c r="F1" s="59"/>
      <c r="G1" s="59"/>
      <c r="AM1" s="1"/>
      <c r="AN1" s="1"/>
      <c r="AO1" s="1"/>
      <c r="AP1" s="1"/>
      <c r="AQ1" s="1"/>
      <c r="AR1" s="1"/>
    </row>
    <row r="2" spans="1:44" ht="20.25" x14ac:dyDescent="0.3">
      <c r="A2" s="61" t="s">
        <v>130</v>
      </c>
      <c r="B2" s="60"/>
      <c r="C2" s="60"/>
      <c r="D2" s="60"/>
      <c r="E2" s="59"/>
      <c r="F2" s="59"/>
      <c r="G2" s="59"/>
      <c r="AM2" s="1"/>
      <c r="AN2" s="1"/>
      <c r="AO2" s="1"/>
      <c r="AP2" s="1"/>
      <c r="AQ2" s="1"/>
      <c r="AR2" s="1"/>
    </row>
    <row r="3" spans="1:44" ht="20.25" x14ac:dyDescent="0.3">
      <c r="A3" s="61" t="s">
        <v>262</v>
      </c>
      <c r="B3" s="60"/>
      <c r="C3" s="60"/>
      <c r="D3" s="60"/>
      <c r="E3" s="59"/>
      <c r="F3" s="59"/>
      <c r="G3" s="59"/>
      <c r="AM3" s="1"/>
      <c r="AN3" s="1"/>
      <c r="AO3" s="1"/>
      <c r="AP3" s="1"/>
      <c r="AQ3" s="1"/>
      <c r="AR3" s="1"/>
    </row>
    <row r="4" spans="1:44" ht="13.9" customHeight="1" x14ac:dyDescent="0.3">
      <c r="A4" s="58"/>
    </row>
    <row r="5" spans="1:44" x14ac:dyDescent="0.25">
      <c r="A5" s="3"/>
      <c r="J5" s="437" t="s">
        <v>258</v>
      </c>
      <c r="P5" s="437" t="s">
        <v>259</v>
      </c>
    </row>
    <row r="6" spans="1:44" x14ac:dyDescent="0.25">
      <c r="A6" s="3" t="s">
        <v>64</v>
      </c>
      <c r="C6" s="57" t="s">
        <v>131</v>
      </c>
      <c r="J6" s="326" t="s">
        <v>131</v>
      </c>
      <c r="K6" s="327"/>
      <c r="L6" s="327"/>
      <c r="M6" s="327"/>
      <c r="N6" s="327"/>
      <c r="P6" s="326" t="s">
        <v>131</v>
      </c>
      <c r="Q6" s="327"/>
      <c r="R6" s="327"/>
      <c r="S6" s="327"/>
      <c r="T6" s="327"/>
    </row>
    <row r="7" spans="1:44" x14ac:dyDescent="0.25">
      <c r="A7" s="13">
        <v>3</v>
      </c>
      <c r="B7" s="7" t="s">
        <v>63</v>
      </c>
      <c r="C7" s="56">
        <f>+'Exhibit A-1 22GRC'!K6</f>
        <v>109756064.14552327</v>
      </c>
      <c r="D7" s="7"/>
      <c r="E7" s="7"/>
      <c r="F7" s="7"/>
      <c r="G7" s="7"/>
      <c r="H7" s="7"/>
      <c r="I7" s="7"/>
      <c r="J7" s="328">
        <v>109756064.14552327</v>
      </c>
      <c r="K7" s="329"/>
      <c r="L7" s="329"/>
      <c r="M7" s="329"/>
      <c r="N7" s="329"/>
      <c r="O7" s="7"/>
      <c r="P7" s="328">
        <f>+C7-J7</f>
        <v>0</v>
      </c>
      <c r="Q7" s="329"/>
      <c r="R7" s="329"/>
      <c r="S7" s="329"/>
      <c r="T7" s="329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44" x14ac:dyDescent="0.25">
      <c r="A8" s="13">
        <v>4</v>
      </c>
      <c r="B8" s="7" t="s">
        <v>62</v>
      </c>
      <c r="C8" s="55">
        <f>+'Exhibit A-1 22GRC'!K7</f>
        <v>67956976.598014444</v>
      </c>
      <c r="D8" s="7"/>
      <c r="E8" s="7"/>
      <c r="F8" s="7"/>
      <c r="G8" s="7"/>
      <c r="H8" s="7"/>
      <c r="I8" s="7"/>
      <c r="J8" s="330">
        <v>67956976.598014444</v>
      </c>
      <c r="K8" s="329"/>
      <c r="L8" s="329"/>
      <c r="M8" s="329"/>
      <c r="N8" s="329"/>
      <c r="O8" s="7"/>
      <c r="P8" s="330">
        <f t="shared" ref="P8:P11" si="0">+C8-J8</f>
        <v>0</v>
      </c>
      <c r="Q8" s="329"/>
      <c r="R8" s="329"/>
      <c r="S8" s="329"/>
      <c r="T8" s="32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44" x14ac:dyDescent="0.25">
      <c r="A9" s="13">
        <v>5</v>
      </c>
      <c r="B9" s="7" t="s">
        <v>61</v>
      </c>
      <c r="C9" s="55">
        <f>+'Exhibit A-1 22GRC'!K8</f>
        <v>1308898119.0505416</v>
      </c>
      <c r="D9" s="7"/>
      <c r="E9" s="7"/>
      <c r="F9" s="7"/>
      <c r="G9" s="7"/>
      <c r="H9" s="7"/>
      <c r="I9" s="7"/>
      <c r="J9" s="330">
        <v>1308898119.0505416</v>
      </c>
      <c r="K9" s="329"/>
      <c r="L9" s="329"/>
      <c r="M9" s="329"/>
      <c r="N9" s="329"/>
      <c r="O9" s="7"/>
      <c r="P9" s="330">
        <f t="shared" si="0"/>
        <v>0</v>
      </c>
      <c r="Q9" s="329"/>
      <c r="R9" s="329"/>
      <c r="S9" s="329"/>
      <c r="T9" s="32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44" x14ac:dyDescent="0.25">
      <c r="A10" s="13">
        <f>+A9+1</f>
        <v>6</v>
      </c>
      <c r="B10" s="7" t="s">
        <v>60</v>
      </c>
      <c r="C10" s="54">
        <f>SUM(C7:C9)</f>
        <v>1486611159.7940793</v>
      </c>
      <c r="D10" s="7"/>
      <c r="E10" s="7"/>
      <c r="F10" s="7"/>
      <c r="G10" s="7"/>
      <c r="H10" s="7"/>
      <c r="I10" s="7"/>
      <c r="J10" s="331">
        <v>1486611159.7940793</v>
      </c>
      <c r="K10" s="329"/>
      <c r="L10" s="329"/>
      <c r="M10" s="329"/>
      <c r="N10" s="329"/>
      <c r="O10" s="7"/>
      <c r="P10" s="331">
        <f t="shared" si="0"/>
        <v>0</v>
      </c>
      <c r="Q10" s="329"/>
      <c r="R10" s="329"/>
      <c r="S10" s="329"/>
      <c r="T10" s="32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44" x14ac:dyDescent="0.25">
      <c r="A11" s="13">
        <f>+A10+1</f>
        <v>7</v>
      </c>
      <c r="B11" s="45" t="s">
        <v>59</v>
      </c>
      <c r="C11" s="51">
        <f>+'Exhibit A-1 22GRC'!K10</f>
        <v>6.6200000000000009E-2</v>
      </c>
      <c r="D11" s="53"/>
      <c r="E11" s="53"/>
      <c r="F11" s="48" t="s">
        <v>18</v>
      </c>
      <c r="G11" s="48" t="s">
        <v>58</v>
      </c>
      <c r="H11" s="48"/>
      <c r="I11" s="48"/>
      <c r="J11" s="332">
        <v>6.6200000000000009E-2</v>
      </c>
      <c r="K11" s="333"/>
      <c r="L11" s="333"/>
      <c r="M11" s="334" t="s">
        <v>18</v>
      </c>
      <c r="N11" s="334" t="s">
        <v>58</v>
      </c>
      <c r="O11" s="48"/>
      <c r="P11" s="332">
        <f t="shared" si="0"/>
        <v>0</v>
      </c>
      <c r="Q11" s="333"/>
      <c r="R11" s="333"/>
      <c r="S11" s="334" t="s">
        <v>18</v>
      </c>
      <c r="T11" s="334" t="s">
        <v>58</v>
      </c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44" x14ac:dyDescent="0.25">
      <c r="A12" s="13">
        <f>+A11+1</f>
        <v>8</v>
      </c>
      <c r="B12" s="45"/>
      <c r="C12" s="51"/>
      <c r="D12" s="48" t="s">
        <v>57</v>
      </c>
      <c r="E12" s="48"/>
      <c r="F12" s="48" t="s">
        <v>56</v>
      </c>
      <c r="G12" s="48" t="s">
        <v>56</v>
      </c>
      <c r="H12" s="48"/>
      <c r="I12" s="48"/>
      <c r="J12" s="332"/>
      <c r="K12" s="334" t="s">
        <v>57</v>
      </c>
      <c r="L12" s="334"/>
      <c r="M12" s="334" t="s">
        <v>56</v>
      </c>
      <c r="N12" s="334" t="s">
        <v>56</v>
      </c>
      <c r="O12" s="48"/>
      <c r="P12" s="332"/>
      <c r="Q12" s="334" t="s">
        <v>57</v>
      </c>
      <c r="R12" s="334"/>
      <c r="S12" s="334" t="s">
        <v>56</v>
      </c>
      <c r="T12" s="334" t="s">
        <v>56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44" x14ac:dyDescent="0.25">
      <c r="A13" s="13">
        <f>+A12+1</f>
        <v>9</v>
      </c>
      <c r="B13" s="52"/>
      <c r="C13" s="51"/>
      <c r="D13" s="50" t="s">
        <v>55</v>
      </c>
      <c r="E13" s="50"/>
      <c r="F13" s="49" t="s">
        <v>54</v>
      </c>
      <c r="G13" s="49" t="s">
        <v>53</v>
      </c>
      <c r="H13" s="47"/>
      <c r="I13" s="47"/>
      <c r="J13" s="332"/>
      <c r="K13" s="335" t="s">
        <v>55</v>
      </c>
      <c r="L13" s="335"/>
      <c r="M13" s="336" t="s">
        <v>54</v>
      </c>
      <c r="N13" s="336" t="s">
        <v>53</v>
      </c>
      <c r="O13" s="47"/>
      <c r="P13" s="332"/>
      <c r="Q13" s="335" t="s">
        <v>55</v>
      </c>
      <c r="R13" s="335"/>
      <c r="S13" s="336" t="s">
        <v>54</v>
      </c>
      <c r="T13" s="336" t="s">
        <v>53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44" x14ac:dyDescent="0.25">
      <c r="A14" s="13" t="s">
        <v>52</v>
      </c>
      <c r="B14" s="45"/>
      <c r="C14" s="48" t="s">
        <v>51</v>
      </c>
      <c r="D14" s="47" t="s">
        <v>50</v>
      </c>
      <c r="E14" s="47" t="s">
        <v>49</v>
      </c>
      <c r="F14" s="47" t="s">
        <v>48</v>
      </c>
      <c r="G14" s="47" t="s">
        <v>47</v>
      </c>
      <c r="H14" s="47"/>
      <c r="I14" s="47"/>
      <c r="J14" s="334" t="s">
        <v>51</v>
      </c>
      <c r="K14" s="337" t="s">
        <v>50</v>
      </c>
      <c r="L14" s="337" t="s">
        <v>49</v>
      </c>
      <c r="M14" s="337" t="s">
        <v>48</v>
      </c>
      <c r="N14" s="337" t="s">
        <v>47</v>
      </c>
      <c r="O14" s="47"/>
      <c r="P14" s="334" t="s">
        <v>51</v>
      </c>
      <c r="Q14" s="337" t="s">
        <v>50</v>
      </c>
      <c r="R14" s="337" t="s">
        <v>49</v>
      </c>
      <c r="S14" s="337" t="s">
        <v>48</v>
      </c>
      <c r="T14" s="337" t="s">
        <v>47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1:44" x14ac:dyDescent="0.25">
      <c r="A15" s="13">
        <v>10</v>
      </c>
      <c r="B15" s="45" t="s">
        <v>46</v>
      </c>
      <c r="C15" s="46">
        <f>(C7*C$11/0.79)</f>
        <v>9197280.3119413182</v>
      </c>
      <c r="D15" s="11">
        <f t="shared" ref="D15:D24" si="1">ROUND(C15/C$41,3)</f>
        <v>0.45</v>
      </c>
      <c r="E15" s="40" t="s">
        <v>16</v>
      </c>
      <c r="F15" s="46">
        <f>+C15</f>
        <v>9197280.3119413182</v>
      </c>
      <c r="G15" s="46"/>
      <c r="H15"/>
      <c r="I15"/>
      <c r="J15" s="338">
        <v>9197280.3119413182</v>
      </c>
      <c r="K15" s="339">
        <v>0.45</v>
      </c>
      <c r="L15" s="340" t="s">
        <v>16</v>
      </c>
      <c r="M15" s="338">
        <v>9197280.3119413182</v>
      </c>
      <c r="N15" s="338"/>
      <c r="O15" s="46"/>
      <c r="P15" s="338">
        <v>9197280.3119413182</v>
      </c>
      <c r="Q15" s="339">
        <v>0.45</v>
      </c>
      <c r="R15" s="340" t="s">
        <v>16</v>
      </c>
      <c r="S15" s="338">
        <v>9197280.3119413182</v>
      </c>
      <c r="T15" s="338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44" x14ac:dyDescent="0.25">
      <c r="A16" s="13" t="s">
        <v>45</v>
      </c>
      <c r="B16" s="45" t="s">
        <v>44</v>
      </c>
      <c r="C16" s="29">
        <f>+'Exhibit A-1 22GRC'!K15</f>
        <v>4105641.6000000006</v>
      </c>
      <c r="D16" s="11">
        <f t="shared" si="1"/>
        <v>0.20100000000000001</v>
      </c>
      <c r="E16" s="40" t="s">
        <v>22</v>
      </c>
      <c r="F16" s="29"/>
      <c r="G16" s="29">
        <f>+C16</f>
        <v>4105641.6000000006</v>
      </c>
      <c r="H16"/>
      <c r="I16"/>
      <c r="J16" s="341">
        <v>4105641.6000000006</v>
      </c>
      <c r="K16" s="339">
        <v>0.20100000000000001</v>
      </c>
      <c r="L16" s="340" t="s">
        <v>22</v>
      </c>
      <c r="M16" s="341"/>
      <c r="N16" s="341">
        <v>4105641.6000000006</v>
      </c>
      <c r="O16" s="29"/>
      <c r="P16" s="341">
        <v>4105641.6000000006</v>
      </c>
      <c r="Q16" s="339">
        <v>0.20100000000000001</v>
      </c>
      <c r="R16" s="340" t="s">
        <v>22</v>
      </c>
      <c r="S16" s="341"/>
      <c r="T16" s="341">
        <v>4105641.6000000006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1:37" x14ac:dyDescent="0.25">
      <c r="A17" s="13">
        <v>11</v>
      </c>
      <c r="B17" s="12" t="s">
        <v>43</v>
      </c>
      <c r="C17" s="29">
        <f>(C8*C$11/0.79)</f>
        <v>5694622.5959348818</v>
      </c>
      <c r="D17" s="11">
        <f t="shared" si="1"/>
        <v>0.27800000000000002</v>
      </c>
      <c r="E17" s="40" t="s">
        <v>16</v>
      </c>
      <c r="F17" s="29">
        <f>+C17</f>
        <v>5694622.5959348818</v>
      </c>
      <c r="G17" s="29"/>
      <c r="H17"/>
      <c r="I17"/>
      <c r="J17" s="341">
        <v>5694622.5959348818</v>
      </c>
      <c r="K17" s="339">
        <v>0.27800000000000002</v>
      </c>
      <c r="L17" s="340" t="s">
        <v>16</v>
      </c>
      <c r="M17" s="341">
        <v>5694622.5959348818</v>
      </c>
      <c r="N17" s="341"/>
      <c r="O17" s="29"/>
      <c r="P17" s="341">
        <v>5694622.5959348818</v>
      </c>
      <c r="Q17" s="339">
        <v>0.27800000000000002</v>
      </c>
      <c r="R17" s="340" t="s">
        <v>16</v>
      </c>
      <c r="S17" s="341">
        <v>5694622.5959348818</v>
      </c>
      <c r="T17" s="341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x14ac:dyDescent="0.25">
      <c r="A18" s="13">
        <v>12</v>
      </c>
      <c r="B18" s="12" t="s">
        <v>42</v>
      </c>
      <c r="C18" s="29">
        <f>(C9*C$11/0.79)</f>
        <v>109682348.71031123</v>
      </c>
      <c r="D18" s="11">
        <f t="shared" si="1"/>
        <v>5.3639999999999999</v>
      </c>
      <c r="E18" s="40" t="s">
        <v>16</v>
      </c>
      <c r="F18" s="29">
        <f>+C18</f>
        <v>109682348.71031123</v>
      </c>
      <c r="G18" s="29"/>
      <c r="H18"/>
      <c r="I18"/>
      <c r="J18" s="341">
        <v>109682348.71031123</v>
      </c>
      <c r="K18" s="339">
        <v>5.3639999999999999</v>
      </c>
      <c r="L18" s="340" t="s">
        <v>16</v>
      </c>
      <c r="M18" s="341">
        <v>109682348.71031123</v>
      </c>
      <c r="N18" s="341"/>
      <c r="O18" s="29"/>
      <c r="P18" s="341">
        <v>109682348.71031123</v>
      </c>
      <c r="Q18" s="339">
        <v>5.3639999999999999</v>
      </c>
      <c r="R18" s="340" t="s">
        <v>16</v>
      </c>
      <c r="S18" s="341">
        <v>109682348.71031123</v>
      </c>
      <c r="T18" s="341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spans="1:37" x14ac:dyDescent="0.25">
      <c r="A19" s="13">
        <v>13</v>
      </c>
      <c r="B19" s="167" t="s">
        <v>41</v>
      </c>
      <c r="C19" s="29">
        <f>+'[2]Power Cost Bridge to A-1'!$T$15</f>
        <v>55531891.799999997</v>
      </c>
      <c r="D19" s="11">
        <f t="shared" si="1"/>
        <v>2.7160000000000002</v>
      </c>
      <c r="E19" s="40" t="s">
        <v>22</v>
      </c>
      <c r="F19" s="29"/>
      <c r="G19" s="169">
        <f>+C19</f>
        <v>55531891.799999997</v>
      </c>
      <c r="H19"/>
      <c r="I19"/>
      <c r="J19" s="341">
        <v>55531891.799999997</v>
      </c>
      <c r="K19" s="339">
        <v>2.7160000000000002</v>
      </c>
      <c r="L19" s="340" t="s">
        <v>22</v>
      </c>
      <c r="M19" s="341"/>
      <c r="N19" s="341">
        <v>55531891.799999997</v>
      </c>
      <c r="O19" s="29"/>
      <c r="P19" s="341">
        <v>55531891.799999997</v>
      </c>
      <c r="Q19" s="339">
        <v>2.7160000000000002</v>
      </c>
      <c r="R19" s="340" t="s">
        <v>22</v>
      </c>
      <c r="S19" s="341"/>
      <c r="T19" s="341">
        <v>55531891.799999997</v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spans="1:37" x14ac:dyDescent="0.25">
      <c r="A20" s="13">
        <v>14</v>
      </c>
      <c r="B20" s="167" t="s">
        <v>40</v>
      </c>
      <c r="C20" s="29">
        <f>+'[2]Power Cost Bridge to A-1'!T17</f>
        <v>930693146.31284964</v>
      </c>
      <c r="D20" s="11">
        <f t="shared" si="1"/>
        <v>45.514000000000003</v>
      </c>
      <c r="E20" s="40" t="s">
        <v>22</v>
      </c>
      <c r="F20" s="29"/>
      <c r="G20" s="169">
        <f>+C20</f>
        <v>930693146.31284964</v>
      </c>
      <c r="H20"/>
      <c r="I20"/>
      <c r="J20" s="341">
        <v>931572947.37484956</v>
      </c>
      <c r="K20" s="339">
        <v>45.557000000000002</v>
      </c>
      <c r="L20" s="340" t="s">
        <v>22</v>
      </c>
      <c r="M20" s="341"/>
      <c r="N20" s="341">
        <v>931572947.37484956</v>
      </c>
      <c r="O20" s="29"/>
      <c r="P20" s="341">
        <v>931572947.37484956</v>
      </c>
      <c r="Q20" s="339">
        <v>45.557000000000002</v>
      </c>
      <c r="R20" s="340" t="s">
        <v>22</v>
      </c>
      <c r="S20" s="341"/>
      <c r="T20" s="341">
        <v>931572947.37484956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spans="1:37" x14ac:dyDescent="0.25">
      <c r="A21" s="13" t="s">
        <v>132</v>
      </c>
      <c r="B21" s="167" t="s">
        <v>133</v>
      </c>
      <c r="C21" s="29">
        <f>+'[2]Power Cost Bridge to A-1'!T18</f>
        <v>11391237.017779689</v>
      </c>
      <c r="D21" s="11">
        <f t="shared" si="1"/>
        <v>0.55700000000000005</v>
      </c>
      <c r="E21" s="40" t="s">
        <v>22</v>
      </c>
      <c r="F21" s="29"/>
      <c r="G21" s="169">
        <f>+C21</f>
        <v>11391237.017779689</v>
      </c>
      <c r="H21"/>
      <c r="I21"/>
      <c r="J21" s="341">
        <v>11391237.017779689</v>
      </c>
      <c r="K21" s="339">
        <v>0.55700000000000005</v>
      </c>
      <c r="L21" s="340" t="s">
        <v>22</v>
      </c>
      <c r="M21" s="341"/>
      <c r="N21" s="341">
        <v>11391237.017779689</v>
      </c>
      <c r="O21" s="29"/>
      <c r="P21" s="341">
        <f t="shared" ref="P21:P41" si="2">+C21-J21</f>
        <v>0</v>
      </c>
      <c r="Q21" s="339">
        <f t="shared" ref="Q21:Q41" si="3">+D21-K21</f>
        <v>0</v>
      </c>
      <c r="R21" s="340"/>
      <c r="S21" s="341">
        <f t="shared" ref="S21:S41" si="4">+F21-M21</f>
        <v>0</v>
      </c>
      <c r="T21" s="341">
        <f t="shared" ref="T21:T41" si="5">+G21-N21</f>
        <v>0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spans="1:37" x14ac:dyDescent="0.25">
      <c r="A22" s="13">
        <v>15</v>
      </c>
      <c r="B22" s="12" t="s">
        <v>39</v>
      </c>
      <c r="C22" s="29">
        <f>+'Exhibit A-1 22GRC'!K20</f>
        <v>14134394.659065126</v>
      </c>
      <c r="D22" s="11">
        <f t="shared" si="1"/>
        <v>0.69099999999999995</v>
      </c>
      <c r="E22" s="40" t="s">
        <v>16</v>
      </c>
      <c r="F22" s="29">
        <f>+C22</f>
        <v>14134394.659065126</v>
      </c>
      <c r="G22" s="29"/>
      <c r="H22"/>
      <c r="I22"/>
      <c r="J22" s="341">
        <v>14134394.659065126</v>
      </c>
      <c r="K22" s="339">
        <v>0.69099999999999995</v>
      </c>
      <c r="L22" s="340" t="s">
        <v>16</v>
      </c>
      <c r="M22" s="341">
        <v>14134394.659065126</v>
      </c>
      <c r="N22" s="341"/>
      <c r="O22" s="29"/>
      <c r="P22" s="341">
        <f t="shared" si="2"/>
        <v>0</v>
      </c>
      <c r="Q22" s="339">
        <f t="shared" si="3"/>
        <v>0</v>
      </c>
      <c r="R22" s="340"/>
      <c r="S22" s="341">
        <f t="shared" si="4"/>
        <v>0</v>
      </c>
      <c r="T22" s="341">
        <f t="shared" si="5"/>
        <v>0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spans="1:37" x14ac:dyDescent="0.25">
      <c r="A23" s="13" t="s">
        <v>38</v>
      </c>
      <c r="B23" s="43" t="s">
        <v>37</v>
      </c>
      <c r="C23" s="29">
        <f>+'Exhibit A-1 22GRC'!K21</f>
        <v>8948835.5679956824</v>
      </c>
      <c r="D23" s="11">
        <f t="shared" si="1"/>
        <v>0.438</v>
      </c>
      <c r="E23" s="40" t="s">
        <v>16</v>
      </c>
      <c r="F23" s="29">
        <f>+C23</f>
        <v>8948835.5679956824</v>
      </c>
      <c r="G23" s="29"/>
      <c r="H23"/>
      <c r="I23"/>
      <c r="J23" s="341">
        <v>8948835.5679956824</v>
      </c>
      <c r="K23" s="339">
        <v>0.438</v>
      </c>
      <c r="L23" s="340" t="s">
        <v>16</v>
      </c>
      <c r="M23" s="341">
        <v>8948835.5679956824</v>
      </c>
      <c r="N23" s="341"/>
      <c r="O23" s="29"/>
      <c r="P23" s="341">
        <f t="shared" si="2"/>
        <v>0</v>
      </c>
      <c r="Q23" s="339">
        <f t="shared" si="3"/>
        <v>0</v>
      </c>
      <c r="R23" s="340"/>
      <c r="S23" s="341">
        <f t="shared" si="4"/>
        <v>0</v>
      </c>
      <c r="T23" s="341">
        <f t="shared" si="5"/>
        <v>0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1:37" x14ac:dyDescent="0.25">
      <c r="A24" s="13" t="s">
        <v>35</v>
      </c>
      <c r="B24" s="43" t="s">
        <v>36</v>
      </c>
      <c r="C24" s="29">
        <f>+'Exhibit A-1 22GRC'!K22</f>
        <v>4192840</v>
      </c>
      <c r="D24" s="11">
        <f t="shared" si="1"/>
        <v>0.20499999999999999</v>
      </c>
      <c r="E24" s="40" t="s">
        <v>16</v>
      </c>
      <c r="F24" s="29">
        <f>+C24</f>
        <v>4192840</v>
      </c>
      <c r="G24" s="29"/>
      <c r="H24"/>
      <c r="I24"/>
      <c r="J24" s="341">
        <v>4192840</v>
      </c>
      <c r="K24" s="339">
        <v>0.20499999999999999</v>
      </c>
      <c r="L24" s="340" t="s">
        <v>16</v>
      </c>
      <c r="M24" s="341">
        <v>4192840</v>
      </c>
      <c r="N24" s="341"/>
      <c r="O24" s="29"/>
      <c r="P24" s="341">
        <f t="shared" si="2"/>
        <v>0</v>
      </c>
      <c r="Q24" s="339">
        <f t="shared" si="3"/>
        <v>0</v>
      </c>
      <c r="R24" s="340"/>
      <c r="S24" s="341">
        <f t="shared" si="4"/>
        <v>0</v>
      </c>
      <c r="T24" s="341">
        <f t="shared" si="5"/>
        <v>0</v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</row>
    <row r="25" spans="1:37" x14ac:dyDescent="0.25">
      <c r="A25" s="13" t="s">
        <v>34</v>
      </c>
      <c r="B25" s="43" t="s">
        <v>33</v>
      </c>
      <c r="C25" s="44" t="s">
        <v>32</v>
      </c>
      <c r="D25" s="44" t="s">
        <v>32</v>
      </c>
      <c r="E25" s="40" t="s">
        <v>22</v>
      </c>
      <c r="F25" s="29"/>
      <c r="G25" s="44"/>
      <c r="H25"/>
      <c r="I25"/>
      <c r="J25" s="342" t="s">
        <v>32</v>
      </c>
      <c r="K25" s="342" t="s">
        <v>32</v>
      </c>
      <c r="L25" s="340" t="s">
        <v>22</v>
      </c>
      <c r="M25" s="341"/>
      <c r="N25" s="342"/>
      <c r="O25" s="44"/>
      <c r="P25" s="342" t="e">
        <f t="shared" si="2"/>
        <v>#VALUE!</v>
      </c>
      <c r="Q25" s="342" t="e">
        <f t="shared" si="3"/>
        <v>#VALUE!</v>
      </c>
      <c r="R25" s="340"/>
      <c r="S25" s="341">
        <f t="shared" si="4"/>
        <v>0</v>
      </c>
      <c r="T25" s="342">
        <f t="shared" si="5"/>
        <v>0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25">
      <c r="A26" s="13" t="s">
        <v>31</v>
      </c>
      <c r="B26" s="43" t="s">
        <v>30</v>
      </c>
      <c r="C26" s="29">
        <f>+'Exhibit A-1 22GRC'!K24</f>
        <v>2634871.234340121</v>
      </c>
      <c r="D26" s="11">
        <f t="shared" ref="D26:D37" si="6">ROUND(C26/C$41,3)</f>
        <v>0.129</v>
      </c>
      <c r="E26" s="40" t="s">
        <v>16</v>
      </c>
      <c r="F26" s="29">
        <f>+C26</f>
        <v>2634871.234340121</v>
      </c>
      <c r="G26" s="29"/>
      <c r="H26"/>
      <c r="I26"/>
      <c r="J26" s="341">
        <v>2634871.234340121</v>
      </c>
      <c r="K26" s="339">
        <v>0.129</v>
      </c>
      <c r="L26" s="340" t="s">
        <v>16</v>
      </c>
      <c r="M26" s="341">
        <v>2634871.234340121</v>
      </c>
      <c r="N26" s="341"/>
      <c r="O26" s="29"/>
      <c r="P26" s="341">
        <f t="shared" si="2"/>
        <v>0</v>
      </c>
      <c r="Q26" s="339">
        <f t="shared" si="3"/>
        <v>0</v>
      </c>
      <c r="R26" s="340"/>
      <c r="S26" s="341">
        <f t="shared" si="4"/>
        <v>0</v>
      </c>
      <c r="T26" s="341">
        <f t="shared" si="5"/>
        <v>0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</row>
    <row r="27" spans="1:37" x14ac:dyDescent="0.25">
      <c r="A27" s="13" t="s">
        <v>29</v>
      </c>
      <c r="B27" s="43" t="s">
        <v>28</v>
      </c>
      <c r="C27" s="29">
        <f>+'Exhibit A-1 22GRC'!K25</f>
        <v>533893.21830399998</v>
      </c>
      <c r="D27" s="11">
        <f t="shared" si="6"/>
        <v>2.5999999999999999E-2</v>
      </c>
      <c r="E27" s="40" t="s">
        <v>22</v>
      </c>
      <c r="F27" s="29"/>
      <c r="G27" s="29">
        <f>+C27</f>
        <v>533893.21830399998</v>
      </c>
      <c r="H27"/>
      <c r="I27"/>
      <c r="J27" s="341">
        <v>533893.21830399998</v>
      </c>
      <c r="K27" s="339">
        <v>2.5999999999999999E-2</v>
      </c>
      <c r="L27" s="340" t="s">
        <v>22</v>
      </c>
      <c r="M27" s="341"/>
      <c r="N27" s="341">
        <v>533893.21830399998</v>
      </c>
      <c r="O27" s="29"/>
      <c r="P27" s="341">
        <f t="shared" si="2"/>
        <v>0</v>
      </c>
      <c r="Q27" s="339">
        <f t="shared" si="3"/>
        <v>0</v>
      </c>
      <c r="R27" s="340"/>
      <c r="S27" s="341">
        <f t="shared" si="4"/>
        <v>0</v>
      </c>
      <c r="T27" s="341">
        <f t="shared" si="5"/>
        <v>0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x14ac:dyDescent="0.25">
      <c r="A28" s="13">
        <v>16</v>
      </c>
      <c r="B28" s="167" t="s">
        <v>27</v>
      </c>
      <c r="C28" s="29">
        <f>+'[2]Power Cost Bridge to A-1'!$T$16</f>
        <v>324050146.69745833</v>
      </c>
      <c r="D28" s="11">
        <f t="shared" si="6"/>
        <v>15.847</v>
      </c>
      <c r="E28" s="40" t="s">
        <v>22</v>
      </c>
      <c r="F28" s="29"/>
      <c r="G28" s="169">
        <f>+C28</f>
        <v>324050146.69745833</v>
      </c>
      <c r="H28"/>
      <c r="I28"/>
      <c r="J28" s="341">
        <v>279875985.65696412</v>
      </c>
      <c r="K28" s="339">
        <v>13.686999999999999</v>
      </c>
      <c r="L28" s="340" t="s">
        <v>22</v>
      </c>
      <c r="M28" s="341"/>
      <c r="N28" s="341">
        <v>279875985.65696412</v>
      </c>
      <c r="O28" s="29"/>
      <c r="P28" s="341">
        <f t="shared" si="2"/>
        <v>44174161.040494204</v>
      </c>
      <c r="Q28" s="339">
        <f t="shared" si="3"/>
        <v>2.16</v>
      </c>
      <c r="R28" s="340"/>
      <c r="S28" s="341">
        <f t="shared" si="4"/>
        <v>0</v>
      </c>
      <c r="T28" s="341">
        <f t="shared" si="5"/>
        <v>44174161.040494204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</row>
    <row r="29" spans="1:37" x14ac:dyDescent="0.25">
      <c r="A29" s="13">
        <v>17</v>
      </c>
      <c r="B29" s="167" t="s">
        <v>26</v>
      </c>
      <c r="C29" s="29">
        <f>+'[2]Power Cost Bridge to A-1'!$T$21</f>
        <v>153226726.55457237</v>
      </c>
      <c r="D29" s="11">
        <f t="shared" si="6"/>
        <v>7.4930000000000003</v>
      </c>
      <c r="E29" s="40" t="s">
        <v>22</v>
      </c>
      <c r="F29" s="29"/>
      <c r="G29" s="169">
        <f>+C29</f>
        <v>153226726.55457237</v>
      </c>
      <c r="H29"/>
      <c r="I29"/>
      <c r="J29" s="341">
        <v>153226726.55457237</v>
      </c>
      <c r="K29" s="339">
        <v>7.4930000000000003</v>
      </c>
      <c r="L29" s="340" t="s">
        <v>22</v>
      </c>
      <c r="M29" s="341"/>
      <c r="N29" s="341">
        <v>153226726.55457237</v>
      </c>
      <c r="O29" s="29"/>
      <c r="P29" s="341">
        <f t="shared" si="2"/>
        <v>0</v>
      </c>
      <c r="Q29" s="339">
        <f t="shared" si="3"/>
        <v>0</v>
      </c>
      <c r="R29" s="340"/>
      <c r="S29" s="341">
        <f t="shared" si="4"/>
        <v>0</v>
      </c>
      <c r="T29" s="341">
        <f t="shared" si="5"/>
        <v>0</v>
      </c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1:37" x14ac:dyDescent="0.25">
      <c r="A30" s="13">
        <v>18</v>
      </c>
      <c r="B30" s="12" t="s">
        <v>25</v>
      </c>
      <c r="C30" s="29">
        <f>+'[2]Power Cost Bridge to A-1'!$T$29</f>
        <v>-5115744.6620968897</v>
      </c>
      <c r="D30" s="11">
        <f t="shared" si="6"/>
        <v>-0.25</v>
      </c>
      <c r="E30" s="40" t="s">
        <v>16</v>
      </c>
      <c r="F30" s="29">
        <f>+C30</f>
        <v>-5115744.6620968897</v>
      </c>
      <c r="G30" s="29"/>
      <c r="H30"/>
      <c r="I30"/>
      <c r="J30" s="341">
        <v>-5115744.6620968897</v>
      </c>
      <c r="K30" s="339">
        <v>-0.25</v>
      </c>
      <c r="L30" s="340" t="s">
        <v>16</v>
      </c>
      <c r="M30" s="341">
        <v>-5115744.6620968897</v>
      </c>
      <c r="N30" s="341"/>
      <c r="O30" s="29"/>
      <c r="P30" s="341">
        <f t="shared" si="2"/>
        <v>0</v>
      </c>
      <c r="Q30" s="339">
        <f t="shared" si="3"/>
        <v>0</v>
      </c>
      <c r="R30" s="340"/>
      <c r="S30" s="341">
        <f t="shared" si="4"/>
        <v>0</v>
      </c>
      <c r="T30" s="341">
        <f t="shared" si="5"/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1:37" x14ac:dyDescent="0.25">
      <c r="A31" s="13">
        <v>19</v>
      </c>
      <c r="B31" s="12" t="s">
        <v>24</v>
      </c>
      <c r="C31" s="29">
        <f>+'Exhibit A-1 22GRC'!K29</f>
        <v>93947588.198774248</v>
      </c>
      <c r="D31" s="11">
        <f t="shared" si="6"/>
        <v>4.5940000000000003</v>
      </c>
      <c r="E31" s="40" t="s">
        <v>16</v>
      </c>
      <c r="F31" s="29">
        <f>+C31</f>
        <v>93947588.198774248</v>
      </c>
      <c r="G31" s="29"/>
      <c r="H31"/>
      <c r="I31"/>
      <c r="J31" s="341">
        <v>93947588.198774248</v>
      </c>
      <c r="K31" s="339">
        <v>4.5940000000000003</v>
      </c>
      <c r="L31" s="340" t="s">
        <v>16</v>
      </c>
      <c r="M31" s="341">
        <v>93947588.198774248</v>
      </c>
      <c r="N31" s="341"/>
      <c r="O31" s="29"/>
      <c r="P31" s="341">
        <f t="shared" si="2"/>
        <v>0</v>
      </c>
      <c r="Q31" s="339">
        <f t="shared" si="3"/>
        <v>0</v>
      </c>
      <c r="R31" s="340"/>
      <c r="S31" s="341">
        <f t="shared" si="4"/>
        <v>0</v>
      </c>
      <c r="T31" s="341">
        <f t="shared" si="5"/>
        <v>0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 x14ac:dyDescent="0.25">
      <c r="A32" s="13">
        <v>20</v>
      </c>
      <c r="B32" s="167" t="s">
        <v>1</v>
      </c>
      <c r="C32" s="29">
        <f>+'[2]Power Cost Bridge to A-1'!$T$22</f>
        <v>-249029764.49999997</v>
      </c>
      <c r="D32" s="11">
        <f t="shared" si="6"/>
        <v>-12.178000000000001</v>
      </c>
      <c r="E32" s="40" t="s">
        <v>22</v>
      </c>
      <c r="F32" s="29"/>
      <c r="G32" s="169">
        <f>+C32</f>
        <v>-249029764.49999997</v>
      </c>
      <c r="H32"/>
      <c r="I32"/>
      <c r="J32" s="341">
        <v>-182172520.1605342</v>
      </c>
      <c r="K32" s="339">
        <v>-8.9090000000000007</v>
      </c>
      <c r="L32" s="340" t="s">
        <v>22</v>
      </c>
      <c r="M32" s="341"/>
      <c r="N32" s="341">
        <v>-182172520.1605342</v>
      </c>
      <c r="O32" s="29"/>
      <c r="P32" s="341">
        <f t="shared" si="2"/>
        <v>-66857244.339465767</v>
      </c>
      <c r="Q32" s="339">
        <f t="shared" si="3"/>
        <v>-3.2690000000000001</v>
      </c>
      <c r="R32" s="340"/>
      <c r="S32" s="341">
        <f t="shared" si="4"/>
        <v>0</v>
      </c>
      <c r="T32" s="341">
        <f t="shared" si="5"/>
        <v>-66857244.339465767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38" x14ac:dyDescent="0.25">
      <c r="A33" s="13">
        <v>21</v>
      </c>
      <c r="B33" s="168" t="s">
        <v>23</v>
      </c>
      <c r="C33" s="29">
        <f>+'[2]Power Cost Bridge to A-1'!$T$23</f>
        <v>-126901357.81756389</v>
      </c>
      <c r="D33" s="11">
        <f t="shared" si="6"/>
        <v>-6.2060000000000004</v>
      </c>
      <c r="E33" s="40" t="s">
        <v>22</v>
      </c>
      <c r="F33" s="29"/>
      <c r="G33" s="169">
        <f>+C33</f>
        <v>-126901357.81756389</v>
      </c>
      <c r="H33"/>
      <c r="I33"/>
      <c r="J33" s="341">
        <v>-126901357.81756389</v>
      </c>
      <c r="K33" s="339">
        <v>-6.2060000000000004</v>
      </c>
      <c r="L33" s="340" t="s">
        <v>22</v>
      </c>
      <c r="M33" s="341"/>
      <c r="N33" s="341">
        <v>-126901357.81756389</v>
      </c>
      <c r="O33" s="29"/>
      <c r="P33" s="341">
        <f t="shared" si="2"/>
        <v>0</v>
      </c>
      <c r="Q33" s="339">
        <f t="shared" si="3"/>
        <v>0</v>
      </c>
      <c r="R33" s="340"/>
      <c r="S33" s="341">
        <f t="shared" si="4"/>
        <v>0</v>
      </c>
      <c r="T33" s="341">
        <f t="shared" si="5"/>
        <v>0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1:38" x14ac:dyDescent="0.25">
      <c r="A34" s="13">
        <v>22</v>
      </c>
      <c r="B34" s="12" t="s">
        <v>21</v>
      </c>
      <c r="C34" s="29">
        <f>+'Exhibit A-1 22GRC'!K32</f>
        <v>613543.21744328644</v>
      </c>
      <c r="D34" s="11">
        <f t="shared" si="6"/>
        <v>0.03</v>
      </c>
      <c r="E34" s="40" t="s">
        <v>16</v>
      </c>
      <c r="F34" s="29">
        <f>+C34</f>
        <v>613543.21744328644</v>
      </c>
      <c r="G34" s="29"/>
      <c r="H34"/>
      <c r="I34"/>
      <c r="J34" s="341">
        <v>613543.21744328644</v>
      </c>
      <c r="K34" s="339">
        <v>0.03</v>
      </c>
      <c r="L34" s="340" t="s">
        <v>16</v>
      </c>
      <c r="M34" s="341">
        <v>613543.21744328644</v>
      </c>
      <c r="N34" s="341"/>
      <c r="O34" s="29"/>
      <c r="P34" s="341">
        <f t="shared" si="2"/>
        <v>0</v>
      </c>
      <c r="Q34" s="339">
        <f t="shared" si="3"/>
        <v>0</v>
      </c>
      <c r="R34" s="340"/>
      <c r="S34" s="341">
        <f t="shared" si="4"/>
        <v>0</v>
      </c>
      <c r="T34" s="341">
        <f t="shared" si="5"/>
        <v>0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8" x14ac:dyDescent="0.25">
      <c r="A35" s="13">
        <v>23</v>
      </c>
      <c r="B35" s="41" t="s">
        <v>20</v>
      </c>
      <c r="C35" s="29">
        <f>+'Exhibit A-1 22GRC'!K33</f>
        <v>129553914.2655206</v>
      </c>
      <c r="D35" s="11">
        <f t="shared" si="6"/>
        <v>6.3360000000000003</v>
      </c>
      <c r="E35" s="40" t="s">
        <v>16</v>
      </c>
      <c r="F35" s="29">
        <f>+C35</f>
        <v>129553914.2655206</v>
      </c>
      <c r="G35" s="29"/>
      <c r="H35"/>
      <c r="I35"/>
      <c r="J35" s="341">
        <v>129553914.2655206</v>
      </c>
      <c r="K35" s="339">
        <v>6.3360000000000003</v>
      </c>
      <c r="L35" s="340" t="s">
        <v>16</v>
      </c>
      <c r="M35" s="341">
        <v>129553914.2655206</v>
      </c>
      <c r="N35" s="341"/>
      <c r="O35" s="29"/>
      <c r="P35" s="341">
        <f t="shared" si="2"/>
        <v>0</v>
      </c>
      <c r="Q35" s="339">
        <f t="shared" si="3"/>
        <v>0</v>
      </c>
      <c r="R35" s="340"/>
      <c r="S35" s="341">
        <f t="shared" si="4"/>
        <v>0</v>
      </c>
      <c r="T35" s="341">
        <f t="shared" si="5"/>
        <v>0</v>
      </c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8" x14ac:dyDescent="0.25">
      <c r="A36" s="13">
        <v>24</v>
      </c>
      <c r="B36" s="41" t="s">
        <v>19</v>
      </c>
      <c r="C36" s="29">
        <f>+'Exhibit A-1 22GRC'!K34</f>
        <v>3448893.376377047</v>
      </c>
      <c r="D36" s="11">
        <f t="shared" si="6"/>
        <v>0.16900000000000001</v>
      </c>
      <c r="E36" s="40" t="s">
        <v>16</v>
      </c>
      <c r="F36" s="29">
        <f>+C36</f>
        <v>3448893.376377047</v>
      </c>
      <c r="G36" s="29"/>
      <c r="H36"/>
      <c r="I36"/>
      <c r="J36" s="341">
        <v>3448893.376377047</v>
      </c>
      <c r="K36" s="339">
        <v>0.16900000000000001</v>
      </c>
      <c r="L36" s="340" t="s">
        <v>16</v>
      </c>
      <c r="M36" s="341">
        <v>3448893.376377047</v>
      </c>
      <c r="N36" s="341"/>
      <c r="O36" s="29"/>
      <c r="P36" s="341">
        <f t="shared" si="2"/>
        <v>0</v>
      </c>
      <c r="Q36" s="339">
        <f t="shared" si="3"/>
        <v>0</v>
      </c>
      <c r="R36" s="340"/>
      <c r="S36" s="341">
        <f t="shared" si="4"/>
        <v>0</v>
      </c>
      <c r="T36" s="341">
        <f t="shared" si="5"/>
        <v>0</v>
      </c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8" x14ac:dyDescent="0.25">
      <c r="A37" s="13">
        <v>25</v>
      </c>
      <c r="B37" s="41" t="s">
        <v>17</v>
      </c>
      <c r="C37" s="29">
        <f>+'Exhibit A-1 22GRC'!K35</f>
        <v>3572472</v>
      </c>
      <c r="D37" s="11">
        <f t="shared" si="6"/>
        <v>0.17499999999999999</v>
      </c>
      <c r="E37" s="40" t="s">
        <v>16</v>
      </c>
      <c r="F37" s="29">
        <f>+C37</f>
        <v>3572472</v>
      </c>
      <c r="G37" s="29"/>
      <c r="H37"/>
      <c r="I37"/>
      <c r="J37" s="341">
        <v>3572472</v>
      </c>
      <c r="K37" s="339">
        <v>0.17499999999999999</v>
      </c>
      <c r="L37" s="340" t="s">
        <v>16</v>
      </c>
      <c r="M37" s="341">
        <v>3572472</v>
      </c>
      <c r="N37" s="341"/>
      <c r="O37" s="29"/>
      <c r="P37" s="341">
        <f t="shared" si="2"/>
        <v>0</v>
      </c>
      <c r="Q37" s="339">
        <f t="shared" si="3"/>
        <v>0</v>
      </c>
      <c r="R37" s="340"/>
      <c r="S37" s="341">
        <f t="shared" si="4"/>
        <v>0</v>
      </c>
      <c r="T37" s="341">
        <f t="shared" si="5"/>
        <v>0</v>
      </c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1:38" ht="15.75" thickBot="1" x14ac:dyDescent="0.3">
      <c r="A38" s="13">
        <v>27</v>
      </c>
      <c r="B38" s="39" t="s">
        <v>15</v>
      </c>
      <c r="C38" s="38">
        <f>SUM(C15:C37)</f>
        <v>1484107420.3590066</v>
      </c>
      <c r="D38" s="37">
        <f>SUM(D15:D37)</f>
        <v>72.578999999999994</v>
      </c>
      <c r="E38" s="36"/>
      <c r="F38" s="35">
        <f>SUM(F15:F37)</f>
        <v>380505859.47560662</v>
      </c>
      <c r="G38" s="35">
        <f>SUM(G15:G37)</f>
        <v>1103601560.8834</v>
      </c>
      <c r="H38"/>
      <c r="I38"/>
      <c r="J38" s="343">
        <v>1507670304.7199781</v>
      </c>
      <c r="K38" s="344">
        <v>73.73099999999998</v>
      </c>
      <c r="L38" s="345"/>
      <c r="M38" s="346">
        <v>380505859.47560662</v>
      </c>
      <c r="N38" s="346">
        <v>1127164445.2443719</v>
      </c>
      <c r="O38" s="122"/>
      <c r="P38" s="343">
        <f t="shared" si="2"/>
        <v>-23562884.360971451</v>
      </c>
      <c r="Q38" s="344">
        <f t="shared" si="3"/>
        <v>-1.1519999999999868</v>
      </c>
      <c r="R38" s="345">
        <f t="shared" ref="R38:R41" si="7">+E38-L38</f>
        <v>0</v>
      </c>
      <c r="S38" s="346">
        <f t="shared" si="4"/>
        <v>0</v>
      </c>
      <c r="T38" s="346">
        <f t="shared" si="5"/>
        <v>-23562884.360971928</v>
      </c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1">
        <f>SUM(F38:G38)-C38</f>
        <v>0</v>
      </c>
    </row>
    <row r="39" spans="1:38" x14ac:dyDescent="0.25">
      <c r="A39" s="13">
        <v>28</v>
      </c>
      <c r="B39" s="12" t="s">
        <v>14</v>
      </c>
      <c r="C39" s="34">
        <v>0.95234799999999997</v>
      </c>
      <c r="D39" s="31"/>
      <c r="E39" s="33"/>
      <c r="F39" s="32">
        <f>+C39</f>
        <v>0.95234799999999997</v>
      </c>
      <c r="G39" s="32">
        <f>+C39</f>
        <v>0.95234799999999997</v>
      </c>
      <c r="H39"/>
      <c r="I39"/>
      <c r="J39" s="347">
        <v>0.95234799999999997</v>
      </c>
      <c r="K39" s="348"/>
      <c r="L39" s="349"/>
      <c r="M39" s="350">
        <v>0.95234799999999997</v>
      </c>
      <c r="N39" s="350">
        <v>0.95234799999999997</v>
      </c>
      <c r="O39" s="32"/>
      <c r="P39" s="347">
        <f t="shared" si="2"/>
        <v>0</v>
      </c>
      <c r="Q39" s="348">
        <f t="shared" si="3"/>
        <v>0</v>
      </c>
      <c r="R39" s="349">
        <f t="shared" si="7"/>
        <v>0</v>
      </c>
      <c r="S39" s="350">
        <f t="shared" si="4"/>
        <v>0</v>
      </c>
      <c r="T39" s="350">
        <f t="shared" si="5"/>
        <v>0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8" x14ac:dyDescent="0.25">
      <c r="A40" s="13">
        <v>29</v>
      </c>
      <c r="B40" s="12" t="s">
        <v>13</v>
      </c>
      <c r="C40" s="30">
        <f>+C38/C39</f>
        <v>1558366710.8651528</v>
      </c>
      <c r="D40" s="31"/>
      <c r="E40" s="29"/>
      <c r="F40" s="30">
        <f>+F38/F39</f>
        <v>399544976.70558095</v>
      </c>
      <c r="G40" s="30">
        <f>+G38/G39</f>
        <v>1158821734.1595719</v>
      </c>
      <c r="H40"/>
      <c r="I40"/>
      <c r="J40" s="351">
        <v>1583108595.5133817</v>
      </c>
      <c r="K40" s="348"/>
      <c r="L40" s="341"/>
      <c r="M40" s="351">
        <v>399544976.70558095</v>
      </c>
      <c r="N40" s="351">
        <v>1183563618.8078012</v>
      </c>
      <c r="O40" s="46"/>
      <c r="P40" s="351">
        <f t="shared" si="2"/>
        <v>-24741884.648228884</v>
      </c>
      <c r="Q40" s="348">
        <f t="shared" si="3"/>
        <v>0</v>
      </c>
      <c r="R40" s="341">
        <f t="shared" si="7"/>
        <v>0</v>
      </c>
      <c r="S40" s="351">
        <f t="shared" si="4"/>
        <v>0</v>
      </c>
      <c r="T40" s="351">
        <f t="shared" si="5"/>
        <v>-24741884.648229361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121">
        <f>SUM(F40:G40)-C40</f>
        <v>0</v>
      </c>
    </row>
    <row r="41" spans="1:38" x14ac:dyDescent="0.25">
      <c r="A41" s="13">
        <v>30</v>
      </c>
      <c r="B41" s="12" t="s">
        <v>135</v>
      </c>
      <c r="C41" s="29">
        <f>+'[3]F2023 Forecasted Delivered Load'!$N$27/1000</f>
        <v>20448456.600058544</v>
      </c>
      <c r="D41" s="29">
        <f>+'Exhibit A-1 22GRC'!C39-C41</f>
        <v>-648775.73255854473</v>
      </c>
      <c r="E41" s="29"/>
      <c r="F41" s="28"/>
      <c r="G41" s="27"/>
      <c r="H41"/>
      <c r="I41"/>
      <c r="J41" s="341">
        <v>20448456.600058544</v>
      </c>
      <c r="K41" s="341">
        <v>-648775.73255854473</v>
      </c>
      <c r="L41" s="341"/>
      <c r="M41" s="352"/>
      <c r="N41" s="353"/>
      <c r="O41" s="27"/>
      <c r="P41" s="341">
        <f t="shared" si="2"/>
        <v>0</v>
      </c>
      <c r="Q41" s="341">
        <f t="shared" si="3"/>
        <v>0</v>
      </c>
      <c r="R41" s="341">
        <f t="shared" si="7"/>
        <v>0</v>
      </c>
      <c r="S41" s="352">
        <f t="shared" si="4"/>
        <v>0</v>
      </c>
      <c r="T41" s="353">
        <f t="shared" si="5"/>
        <v>0</v>
      </c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:38" x14ac:dyDescent="0.25">
      <c r="A42" s="13">
        <v>31</v>
      </c>
      <c r="B42" s="19"/>
      <c r="C42" s="24" t="s">
        <v>11</v>
      </c>
      <c r="D42" s="26"/>
      <c r="E42" s="25"/>
      <c r="F42" s="103"/>
      <c r="G42" s="103"/>
      <c r="H42"/>
      <c r="I42"/>
      <c r="J42" s="354" t="s">
        <v>11</v>
      </c>
      <c r="K42" s="355"/>
      <c r="L42" s="356"/>
      <c r="M42" s="357"/>
      <c r="N42" s="357"/>
      <c r="O42" s="103"/>
      <c r="P42" s="354" t="s">
        <v>11</v>
      </c>
      <c r="Q42" s="355"/>
      <c r="R42" s="356"/>
      <c r="S42" s="357"/>
      <c r="T42" s="357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</row>
    <row r="43" spans="1:38" x14ac:dyDescent="0.25">
      <c r="A43" s="13">
        <v>32</v>
      </c>
      <c r="B43" s="19"/>
      <c r="C43" s="23" t="s">
        <v>10</v>
      </c>
      <c r="D43" s="22" t="s">
        <v>9</v>
      </c>
      <c r="E43" s="16"/>
      <c r="F43" s="103"/>
      <c r="G43" s="103"/>
      <c r="H43"/>
      <c r="I43"/>
      <c r="J43" s="358" t="s">
        <v>10</v>
      </c>
      <c r="K43" s="359" t="s">
        <v>9</v>
      </c>
      <c r="L43" s="360"/>
      <c r="M43" s="357"/>
      <c r="N43" s="357"/>
      <c r="O43" s="103"/>
      <c r="P43" s="358" t="s">
        <v>10</v>
      </c>
      <c r="Q43" s="359" t="s">
        <v>9</v>
      </c>
      <c r="R43" s="360"/>
      <c r="S43" s="357"/>
      <c r="T43" s="357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</row>
    <row r="44" spans="1:38" x14ac:dyDescent="0.25">
      <c r="A44" s="13">
        <v>33</v>
      </c>
      <c r="B44" s="19"/>
      <c r="C44" s="21" t="s">
        <v>8</v>
      </c>
      <c r="D44" s="20" t="s">
        <v>8</v>
      </c>
      <c r="E44" s="16"/>
      <c r="F44" s="103"/>
      <c r="G44" s="103"/>
      <c r="H44" s="103"/>
      <c r="I44" s="103"/>
      <c r="J44" s="361" t="s">
        <v>8</v>
      </c>
      <c r="K44" s="362" t="s">
        <v>8</v>
      </c>
      <c r="L44" s="360"/>
      <c r="M44" s="357"/>
      <c r="N44" s="357"/>
      <c r="O44" s="103"/>
      <c r="P44" s="361" t="s">
        <v>8</v>
      </c>
      <c r="Q44" s="362" t="s">
        <v>8</v>
      </c>
      <c r="R44" s="360"/>
      <c r="S44" s="357"/>
      <c r="T44" s="357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</row>
    <row r="45" spans="1:38" x14ac:dyDescent="0.25">
      <c r="A45" s="13">
        <v>34</v>
      </c>
      <c r="B45" s="19"/>
      <c r="C45" s="18" t="s">
        <v>7</v>
      </c>
      <c r="D45" s="17"/>
      <c r="E45" s="16"/>
      <c r="F45" s="171"/>
      <c r="G45" s="103"/>
      <c r="H45" s="103"/>
      <c r="I45" s="103"/>
      <c r="J45" s="363" t="s">
        <v>7</v>
      </c>
      <c r="K45" s="364"/>
      <c r="L45" s="360"/>
      <c r="M45" s="365"/>
      <c r="N45" s="357"/>
      <c r="O45" s="103"/>
      <c r="P45" s="363" t="s">
        <v>7</v>
      </c>
      <c r="Q45" s="364"/>
      <c r="R45" s="360"/>
      <c r="S45" s="365"/>
      <c r="T45" s="357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</row>
    <row r="46" spans="1:38" x14ac:dyDescent="0.25">
      <c r="A46" s="13">
        <v>35</v>
      </c>
      <c r="B46" s="12" t="s">
        <v>4</v>
      </c>
      <c r="C46" s="9">
        <f>D38</f>
        <v>72.578999999999994</v>
      </c>
      <c r="D46" s="8">
        <f>C46/C$39</f>
        <v>76.21058688630626</v>
      </c>
      <c r="E46" s="16"/>
      <c r="F46" s="103"/>
      <c r="G46" s="103"/>
      <c r="H46" s="103"/>
      <c r="I46" s="103"/>
      <c r="J46" s="366">
        <v>73.73099999999998</v>
      </c>
      <c r="K46" s="367">
        <v>77.420228739914378</v>
      </c>
      <c r="L46" s="360"/>
      <c r="M46" s="357"/>
      <c r="N46" s="357"/>
      <c r="O46" s="103"/>
      <c r="P46" s="366">
        <f t="shared" ref="P46:P59" si="8">+C46-J46</f>
        <v>-1.1519999999999868</v>
      </c>
      <c r="Q46" s="367">
        <f t="shared" ref="Q46:Q59" si="9">+D46-K46</f>
        <v>-1.2096418536081188</v>
      </c>
      <c r="R46" s="360"/>
      <c r="S46" s="357"/>
      <c r="T46" s="357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</row>
    <row r="47" spans="1:38" x14ac:dyDescent="0.25">
      <c r="A47" s="13">
        <v>36</v>
      </c>
      <c r="B47" s="12" t="s">
        <v>6</v>
      </c>
      <c r="C47" s="9">
        <f>ROUND(SUM(D15,D17:D18,D22:D24,D26,D30:D31,D34:D37),3)</f>
        <v>18.609000000000002</v>
      </c>
      <c r="D47" s="8">
        <f>ROUND(C47/C$39,3)</f>
        <v>19.54</v>
      </c>
      <c r="E47" s="16"/>
      <c r="F47" s="103"/>
      <c r="G47" s="103"/>
      <c r="H47" s="103"/>
      <c r="I47" s="103"/>
      <c r="J47" s="366">
        <v>18.609000000000002</v>
      </c>
      <c r="K47" s="367">
        <v>19.54</v>
      </c>
      <c r="L47" s="360"/>
      <c r="M47" s="357"/>
      <c r="N47" s="357"/>
      <c r="O47" s="103"/>
      <c r="P47" s="366">
        <f t="shared" si="8"/>
        <v>0</v>
      </c>
      <c r="Q47" s="367">
        <f t="shared" si="9"/>
        <v>0</v>
      </c>
      <c r="R47" s="360"/>
      <c r="S47" s="357"/>
      <c r="T47" s="357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</row>
    <row r="48" spans="1:38" x14ac:dyDescent="0.25">
      <c r="A48" s="13">
        <v>37</v>
      </c>
      <c r="B48" s="12" t="s">
        <v>5</v>
      </c>
      <c r="C48" s="15">
        <f>ROUND(SUM(D16,D19:D21,C25,D27:D29,D32:D33),3)</f>
        <v>53.97</v>
      </c>
      <c r="D48" s="14">
        <f>ROUND(C48/C$39,3)</f>
        <v>56.67</v>
      </c>
      <c r="E48" s="10"/>
      <c r="F48" s="103"/>
      <c r="G48" s="103"/>
      <c r="H48" s="103"/>
      <c r="I48" s="103"/>
      <c r="J48" s="368">
        <v>55.122</v>
      </c>
      <c r="K48" s="369">
        <v>57.88</v>
      </c>
      <c r="L48" s="370"/>
      <c r="M48" s="357"/>
      <c r="N48" s="357"/>
      <c r="O48" s="103"/>
      <c r="P48" s="368">
        <f t="shared" si="8"/>
        <v>-1.152000000000001</v>
      </c>
      <c r="Q48" s="369">
        <f t="shared" si="9"/>
        <v>-1.2100000000000009</v>
      </c>
      <c r="R48" s="370"/>
      <c r="S48" s="357"/>
      <c r="T48" s="357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</row>
    <row r="49" spans="1:38" x14ac:dyDescent="0.25">
      <c r="A49" s="13">
        <v>38</v>
      </c>
      <c r="B49" s="12" t="s">
        <v>4</v>
      </c>
      <c r="C49" s="9">
        <f>SUM(C47:C48)</f>
        <v>72.579000000000008</v>
      </c>
      <c r="D49" s="8">
        <f>SUM(D47:D48)</f>
        <v>76.210000000000008</v>
      </c>
      <c r="E49" s="10"/>
      <c r="F49" s="103"/>
      <c r="G49" s="103"/>
      <c r="H49" s="103"/>
      <c r="I49" s="103"/>
      <c r="J49" s="366">
        <v>73.730999999999995</v>
      </c>
      <c r="K49" s="367">
        <v>77.42</v>
      </c>
      <c r="L49" s="370"/>
      <c r="M49" s="357"/>
      <c r="N49" s="357"/>
      <c r="O49" s="103"/>
      <c r="P49" s="366">
        <f t="shared" si="8"/>
        <v>-1.1519999999999868</v>
      </c>
      <c r="Q49" s="367">
        <f t="shared" si="9"/>
        <v>-1.2099999999999937</v>
      </c>
      <c r="R49" s="370"/>
      <c r="S49" s="357"/>
      <c r="T49" s="357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</row>
    <row r="50" spans="1:38" x14ac:dyDescent="0.25">
      <c r="A50" s="3"/>
      <c r="B50" s="7"/>
      <c r="C50" s="210">
        <f>+C49-C46</f>
        <v>0</v>
      </c>
      <c r="D50" s="170">
        <f>+D49-D46</f>
        <v>-5.8688630625169935E-4</v>
      </c>
      <c r="E50" s="6" t="s">
        <v>3</v>
      </c>
      <c r="F50" s="103"/>
      <c r="G50" s="103"/>
      <c r="H50" s="103"/>
      <c r="I50" s="103"/>
      <c r="J50" s="371">
        <v>0</v>
      </c>
      <c r="K50" s="372">
        <v>-2.2873991437677432E-4</v>
      </c>
      <c r="L50" s="373" t="s">
        <v>3</v>
      </c>
      <c r="M50" s="357"/>
      <c r="N50" s="357"/>
      <c r="O50" s="103"/>
      <c r="P50" s="371">
        <f t="shared" si="8"/>
        <v>0</v>
      </c>
      <c r="Q50" s="372">
        <f t="shared" si="9"/>
        <v>-3.5814639187492503E-4</v>
      </c>
      <c r="R50" s="373" t="s">
        <v>3</v>
      </c>
      <c r="S50" s="357"/>
      <c r="T50" s="357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</row>
    <row r="51" spans="1:38" x14ac:dyDescent="0.25">
      <c r="A51" s="3"/>
      <c r="B51" s="5"/>
      <c r="E51" s="4"/>
      <c r="F51" s="4"/>
      <c r="G51" s="4"/>
      <c r="H51" s="4"/>
      <c r="I51" s="4"/>
      <c r="J51" s="327"/>
      <c r="K51" s="327"/>
      <c r="L51" s="374"/>
      <c r="M51" s="374"/>
      <c r="N51" s="374"/>
      <c r="O51" s="4"/>
      <c r="P51" s="327">
        <f t="shared" si="8"/>
        <v>0</v>
      </c>
      <c r="Q51" s="327">
        <f t="shared" si="9"/>
        <v>0</v>
      </c>
      <c r="R51" s="374"/>
      <c r="S51" s="374"/>
      <c r="T51" s="37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8" x14ac:dyDescent="0.25">
      <c r="A52" s="3"/>
      <c r="E52" s="4"/>
      <c r="F52" s="4"/>
      <c r="G52" s="4"/>
      <c r="H52" s="4"/>
      <c r="I52" s="4"/>
      <c r="J52" s="327"/>
      <c r="K52" s="327"/>
      <c r="L52" s="374"/>
      <c r="M52" s="374"/>
      <c r="N52" s="374"/>
      <c r="O52" s="4"/>
      <c r="P52" s="327">
        <f t="shared" si="8"/>
        <v>0</v>
      </c>
      <c r="Q52" s="327">
        <f t="shared" si="9"/>
        <v>0</v>
      </c>
      <c r="R52" s="374"/>
      <c r="S52" s="374"/>
      <c r="T52" s="37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8" ht="15.75" thickBot="1" x14ac:dyDescent="0.3">
      <c r="A53" s="3"/>
      <c r="B53" s="120"/>
      <c r="C53" s="119"/>
      <c r="D53" s="112" t="s">
        <v>90</v>
      </c>
      <c r="E53" s="4"/>
      <c r="F53" s="4"/>
      <c r="G53" s="4"/>
      <c r="H53" s="4"/>
      <c r="I53" s="4"/>
      <c r="J53" s="375"/>
      <c r="K53" s="376" t="s">
        <v>90</v>
      </c>
      <c r="L53" s="374"/>
      <c r="M53" s="374"/>
      <c r="N53" s="374"/>
      <c r="O53" s="4"/>
      <c r="P53" s="375">
        <f t="shared" si="8"/>
        <v>0</v>
      </c>
      <c r="Q53" s="376" t="e">
        <f t="shared" si="9"/>
        <v>#VALUE!</v>
      </c>
      <c r="R53" s="374"/>
      <c r="S53" s="374"/>
      <c r="T53" s="37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8" x14ac:dyDescent="0.25">
      <c r="A54" s="3"/>
      <c r="B54" s="118" t="s">
        <v>89</v>
      </c>
      <c r="C54" s="117" t="s">
        <v>88</v>
      </c>
      <c r="D54" s="116"/>
      <c r="E54" s="4"/>
      <c r="F54" s="4"/>
      <c r="G54" s="4"/>
      <c r="H54" s="4"/>
      <c r="I54" s="4"/>
      <c r="J54" s="377" t="s">
        <v>88</v>
      </c>
      <c r="K54" s="378"/>
      <c r="L54" s="374"/>
      <c r="M54" s="374"/>
      <c r="N54" s="374"/>
      <c r="O54" s="4"/>
      <c r="P54" s="377" t="e">
        <f t="shared" si="8"/>
        <v>#VALUE!</v>
      </c>
      <c r="Q54" s="378">
        <f t="shared" si="9"/>
        <v>0</v>
      </c>
      <c r="R54" s="374"/>
      <c r="S54" s="374"/>
      <c r="T54" s="37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8" x14ac:dyDescent="0.25">
      <c r="A55" s="3"/>
      <c r="B55" s="115" t="s">
        <v>87</v>
      </c>
      <c r="C55" s="114">
        <v>407.3</v>
      </c>
      <c r="D55" s="113">
        <f>+'Exhibit A-1 22GRC'!L53</f>
        <v>0</v>
      </c>
      <c r="E55" s="4"/>
      <c r="F55" s="4"/>
      <c r="G55" s="4"/>
      <c r="H55" s="4"/>
      <c r="I55" s="4"/>
      <c r="J55" s="379">
        <v>407.3</v>
      </c>
      <c r="K55" s="380">
        <v>0</v>
      </c>
      <c r="L55" s="374"/>
      <c r="M55" s="374"/>
      <c r="N55" s="374"/>
      <c r="O55" s="4"/>
      <c r="P55" s="379">
        <f t="shared" si="8"/>
        <v>0</v>
      </c>
      <c r="Q55" s="380">
        <f t="shared" si="9"/>
        <v>0</v>
      </c>
      <c r="R55" s="374"/>
      <c r="S55" s="374"/>
      <c r="T55" s="37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8" x14ac:dyDescent="0.25">
      <c r="A56" s="3"/>
      <c r="B56" s="110" t="s">
        <v>86</v>
      </c>
      <c r="C56" s="112">
        <v>407.3</v>
      </c>
      <c r="D56" s="111">
        <f>+'Exhibit A-1 22GRC'!L54</f>
        <v>687420</v>
      </c>
      <c r="E56" s="4"/>
      <c r="F56" s="4"/>
      <c r="G56" s="4"/>
      <c r="H56" s="4"/>
      <c r="I56" s="4"/>
      <c r="J56" s="376">
        <v>407.3</v>
      </c>
      <c r="K56" s="381">
        <v>687420</v>
      </c>
      <c r="L56" s="374"/>
      <c r="M56" s="374"/>
      <c r="N56" s="374"/>
      <c r="O56" s="4"/>
      <c r="P56" s="376">
        <f t="shared" si="8"/>
        <v>0</v>
      </c>
      <c r="Q56" s="381">
        <f t="shared" si="9"/>
        <v>0</v>
      </c>
      <c r="R56" s="374"/>
      <c r="S56" s="374"/>
      <c r="T56" s="37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8" x14ac:dyDescent="0.25">
      <c r="A57" s="3"/>
      <c r="B57" s="110" t="s">
        <v>85</v>
      </c>
      <c r="C57" s="112">
        <v>407.3</v>
      </c>
      <c r="D57" s="111">
        <f>+'Exhibit A-1 22GRC'!L55</f>
        <v>2885052</v>
      </c>
      <c r="E57" s="4"/>
      <c r="F57" s="4"/>
      <c r="G57" s="4"/>
      <c r="H57" s="4"/>
      <c r="I57" s="4"/>
      <c r="J57" s="376">
        <v>407.3</v>
      </c>
      <c r="K57" s="381">
        <v>2885052</v>
      </c>
      <c r="L57" s="374"/>
      <c r="M57" s="374"/>
      <c r="N57" s="374"/>
      <c r="O57" s="4"/>
      <c r="P57" s="376">
        <f t="shared" si="8"/>
        <v>0</v>
      </c>
      <c r="Q57" s="381">
        <f t="shared" si="9"/>
        <v>0</v>
      </c>
      <c r="R57" s="374"/>
      <c r="S57" s="374"/>
      <c r="T57" s="37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8" ht="15.75" thickBot="1" x14ac:dyDescent="0.3">
      <c r="A58" s="3"/>
      <c r="B58" s="110" t="s">
        <v>84</v>
      </c>
      <c r="C58" s="109"/>
      <c r="D58" s="108">
        <f>SUM(D55:D57)</f>
        <v>3572472</v>
      </c>
      <c r="E58" s="4"/>
      <c r="F58" s="4"/>
      <c r="G58" s="4"/>
      <c r="H58" s="4"/>
      <c r="I58" s="4"/>
      <c r="J58" s="382"/>
      <c r="K58" s="383">
        <v>3572472</v>
      </c>
      <c r="L58" s="374"/>
      <c r="M58" s="374"/>
      <c r="N58" s="374"/>
      <c r="O58" s="4"/>
      <c r="P58" s="382">
        <f t="shared" si="8"/>
        <v>0</v>
      </c>
      <c r="Q58" s="383">
        <f t="shared" si="9"/>
        <v>0</v>
      </c>
      <c r="R58" s="374"/>
      <c r="S58" s="374"/>
      <c r="T58" s="37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8" ht="16.5" thickTop="1" thickBot="1" x14ac:dyDescent="0.3">
      <c r="A59" s="3"/>
      <c r="B59" s="107"/>
      <c r="C59" s="106" t="s">
        <v>83</v>
      </c>
      <c r="D59" s="105">
        <f>+C37-D58</f>
        <v>0</v>
      </c>
      <c r="E59" s="4"/>
      <c r="F59" s="4"/>
      <c r="G59" s="4"/>
      <c r="H59" s="4"/>
      <c r="I59" s="4"/>
      <c r="J59" s="384" t="s">
        <v>83</v>
      </c>
      <c r="K59" s="385">
        <v>0</v>
      </c>
      <c r="L59" s="374"/>
      <c r="M59" s="374"/>
      <c r="N59" s="374"/>
      <c r="O59" s="4"/>
      <c r="P59" s="384" t="e">
        <f t="shared" si="8"/>
        <v>#VALUE!</v>
      </c>
      <c r="Q59" s="385">
        <f t="shared" si="9"/>
        <v>0</v>
      </c>
      <c r="R59" s="374"/>
      <c r="S59" s="374"/>
      <c r="T59" s="37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8" x14ac:dyDescent="0.25">
      <c r="A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8" x14ac:dyDescent="0.25">
      <c r="A61" s="3"/>
      <c r="B61" s="4"/>
      <c r="C61" s="4"/>
      <c r="D61" s="4"/>
    </row>
    <row r="62" spans="1:38" x14ac:dyDescent="0.25">
      <c r="A62" s="3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x14ac:dyDescent="0.25">
      <c r="A63" s="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x14ac:dyDescent="0.25">
      <c r="A64" s="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x14ac:dyDescent="0.25">
      <c r="A65" s="3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x14ac:dyDescent="0.25">
      <c r="A66" s="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x14ac:dyDescent="0.25">
      <c r="A67" s="3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x14ac:dyDescent="0.25">
      <c r="A68" s="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x14ac:dyDescent="0.25">
      <c r="A69" s="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x14ac:dyDescent="0.25">
      <c r="A70" s="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x14ac:dyDescent="0.25">
      <c r="A71" s="3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x14ac:dyDescent="0.25">
      <c r="A72" s="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x14ac:dyDescent="0.25">
      <c r="A73" s="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x14ac:dyDescent="0.25">
      <c r="A74" s="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x14ac:dyDescent="0.25">
      <c r="A75" s="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x14ac:dyDescent="0.25">
      <c r="A76" s="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x14ac:dyDescent="0.25">
      <c r="A77" s="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x14ac:dyDescent="0.25">
      <c r="A78" s="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x14ac:dyDescent="0.25">
      <c r="A79" s="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x14ac:dyDescent="0.25">
      <c r="A80" s="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x14ac:dyDescent="0.25">
      <c r="A81" s="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x14ac:dyDescent="0.25">
      <c r="A82" s="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x14ac:dyDescent="0.25">
      <c r="A83" s="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x14ac:dyDescent="0.25">
      <c r="A84" s="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1:38" x14ac:dyDescent="0.25">
      <c r="A85" s="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1:38" x14ac:dyDescent="0.25">
      <c r="A86" s="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x14ac:dyDescent="0.25">
      <c r="A87" s="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x14ac:dyDescent="0.25">
      <c r="A88" s="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x14ac:dyDescent="0.25">
      <c r="A89" s="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x14ac:dyDescent="0.25">
      <c r="A119" s="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x14ac:dyDescent="0.25">
      <c r="A120" s="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2:38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2:38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2:38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2:38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2:38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2:38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2:38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2:38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2:38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2:38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2:38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2:38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2:38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2:38" x14ac:dyDescent="0.25">
      <c r="B142" s="2"/>
      <c r="C142" s="2"/>
    </row>
    <row r="143" spans="2:38" x14ac:dyDescent="0.25">
      <c r="B143" s="2"/>
      <c r="C143" s="2"/>
    </row>
    <row r="144" spans="2:38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</sheetData>
  <pageMargins left="0.7" right="0.7" top="0.75" bottom="0.75" header="0.3" footer="0.3"/>
  <pageSetup scale="77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7"/>
  <sheetViews>
    <sheetView zoomScale="75" zoomScaleNormal="75" workbookViewId="0">
      <pane xSplit="2" ySplit="12" topLeftCell="C13" activePane="bottomRight" state="frozen"/>
      <selection activeCell="E21" sqref="E21"/>
      <selection pane="topRight" activeCell="E21" sqref="E21"/>
      <selection pane="bottomLeft" activeCell="E21" sqref="E21"/>
      <selection pane="bottomRight" activeCell="K6" sqref="K6"/>
    </sheetView>
  </sheetViews>
  <sheetFormatPr defaultColWidth="9.140625" defaultRowHeight="15" outlineLevelCol="1" x14ac:dyDescent="0.25"/>
  <cols>
    <col min="1" max="1" width="7.42578125" style="1" customWidth="1"/>
    <col min="2" max="2" width="43.7109375" style="1" customWidth="1"/>
    <col min="3" max="3" width="18.5703125" style="1" bestFit="1" customWidth="1"/>
    <col min="4" max="4" width="16.140625" style="1" bestFit="1" customWidth="1"/>
    <col min="5" max="5" width="9.42578125" style="1" bestFit="1" customWidth="1"/>
    <col min="6" max="6" width="15.5703125" style="1" bestFit="1" customWidth="1"/>
    <col min="7" max="7" width="17.28515625" style="1" bestFit="1" customWidth="1"/>
    <col min="8" max="8" width="9.140625" style="1" customWidth="1"/>
    <col min="9" max="9" width="5.5703125" style="1" customWidth="1"/>
    <col min="10" max="10" width="43.7109375" style="1" customWidth="1"/>
    <col min="11" max="11" width="18.5703125" style="1" bestFit="1" customWidth="1"/>
    <col min="12" max="12" width="16.85546875" style="1" bestFit="1" customWidth="1"/>
    <col min="13" max="13" width="9.42578125" style="1" bestFit="1" customWidth="1"/>
    <col min="14" max="14" width="15.5703125" style="1" bestFit="1" customWidth="1"/>
    <col min="15" max="15" width="17.28515625" style="1" bestFit="1" customWidth="1"/>
    <col min="16" max="16" width="13.85546875" style="1" bestFit="1" customWidth="1"/>
    <col min="17" max="17" width="0" style="1" hidden="1" customWidth="1" outlineLevel="1"/>
    <col min="18" max="18" width="43.7109375" style="1" hidden="1" customWidth="1" outlineLevel="1"/>
    <col min="19" max="19" width="17.85546875" style="1" hidden="1" customWidth="1" outlineLevel="1"/>
    <col min="20" max="20" width="14.28515625" style="1" hidden="1" customWidth="1" outlineLevel="1"/>
    <col min="21" max="21" width="9.42578125" style="1" hidden="1" customWidth="1" outlineLevel="1"/>
    <col min="22" max="23" width="15.5703125" style="1" hidden="1" customWidth="1" outlineLevel="1"/>
    <col min="24" max="25" width="0" style="1" hidden="1" customWidth="1" outlineLevel="1"/>
    <col min="26" max="26" width="15.42578125" style="1" hidden="1" customWidth="1" outlineLevel="1"/>
    <col min="27" max="27" width="21.28515625" style="1" hidden="1" customWidth="1" outlineLevel="1"/>
    <col min="28" max="28" width="18" style="1" hidden="1" customWidth="1" outlineLevel="1"/>
    <col min="29" max="29" width="21.28515625" style="1" hidden="1" customWidth="1" outlineLevel="1"/>
    <col min="30" max="30" width="0" style="1" hidden="1" customWidth="1" outlineLevel="1"/>
    <col min="31" max="31" width="9.140625" style="1" collapsed="1"/>
    <col min="32" max="32" width="9.140625" style="1"/>
    <col min="33" max="35" width="16.7109375" bestFit="1" customWidth="1"/>
    <col min="36" max="36" width="4.28515625" customWidth="1"/>
    <col min="37" max="37" width="13.7109375" bestFit="1" customWidth="1"/>
    <col min="38" max="39" width="12.85546875" bestFit="1" customWidth="1"/>
    <col min="41" max="41" width="15.42578125" customWidth="1"/>
    <col min="42" max="42" width="13.42578125" bestFit="1" customWidth="1"/>
    <col min="43" max="43" width="16" bestFit="1" customWidth="1"/>
    <col min="44" max="16384" width="9.140625" style="1"/>
  </cols>
  <sheetData>
    <row r="1" spans="1:31" ht="20.25" x14ac:dyDescent="0.3">
      <c r="A1" s="61" t="s">
        <v>67</v>
      </c>
      <c r="B1" s="60"/>
      <c r="C1" s="60"/>
      <c r="D1" s="60"/>
      <c r="E1" s="59"/>
      <c r="F1" s="59"/>
      <c r="G1" s="59"/>
      <c r="I1" s="61" t="s">
        <v>67</v>
      </c>
      <c r="J1" s="60"/>
      <c r="K1" s="60"/>
      <c r="L1" s="60"/>
      <c r="M1" s="59"/>
      <c r="N1" s="59"/>
      <c r="O1" s="59"/>
      <c r="Q1" s="61" t="s">
        <v>67</v>
      </c>
      <c r="R1" s="60"/>
      <c r="S1" s="60"/>
      <c r="T1" s="60"/>
      <c r="U1" s="59"/>
      <c r="V1" s="59"/>
      <c r="W1" s="59"/>
      <c r="AE1" s="1" t="s">
        <v>128</v>
      </c>
    </row>
    <row r="2" spans="1:31" ht="20.25" x14ac:dyDescent="0.3">
      <c r="A2" s="61" t="s">
        <v>66</v>
      </c>
      <c r="B2" s="60"/>
      <c r="C2" s="60"/>
      <c r="D2" s="60"/>
      <c r="E2" s="59"/>
      <c r="F2" s="59"/>
      <c r="G2" s="59"/>
      <c r="I2" s="61" t="s">
        <v>127</v>
      </c>
      <c r="J2" s="60"/>
      <c r="K2" s="60"/>
      <c r="L2" s="60"/>
      <c r="M2" s="59"/>
      <c r="N2" s="59"/>
      <c r="O2" s="59"/>
      <c r="Q2" s="61" t="s">
        <v>126</v>
      </c>
      <c r="R2" s="60"/>
      <c r="S2" s="60"/>
      <c r="T2" s="60"/>
      <c r="U2" s="59"/>
      <c r="V2" s="59"/>
      <c r="W2" s="59"/>
    </row>
    <row r="3" spans="1:31" ht="13.9" customHeight="1" x14ac:dyDescent="0.3">
      <c r="A3" s="58"/>
      <c r="I3" s="58"/>
      <c r="Q3" s="58"/>
    </row>
    <row r="4" spans="1:31" x14ac:dyDescent="0.25">
      <c r="A4" s="3"/>
      <c r="I4" s="3"/>
      <c r="Q4" s="3"/>
    </row>
    <row r="5" spans="1:31" x14ac:dyDescent="0.25">
      <c r="A5" s="3" t="s">
        <v>64</v>
      </c>
      <c r="C5" s="57" t="s">
        <v>65</v>
      </c>
      <c r="I5" s="3" t="s">
        <v>64</v>
      </c>
      <c r="K5" s="57" t="s">
        <v>125</v>
      </c>
      <c r="Q5" s="3" t="s">
        <v>64</v>
      </c>
      <c r="S5" s="57" t="s">
        <v>124</v>
      </c>
    </row>
    <row r="6" spans="1:31" x14ac:dyDescent="0.25">
      <c r="A6" s="13">
        <v>3</v>
      </c>
      <c r="B6" s="7" t="s">
        <v>63</v>
      </c>
      <c r="C6" s="56">
        <v>123548301.87260658</v>
      </c>
      <c r="D6" s="7"/>
      <c r="E6" s="7"/>
      <c r="F6" s="7"/>
      <c r="G6" s="7"/>
      <c r="I6" s="13">
        <v>3</v>
      </c>
      <c r="J6" s="7" t="s">
        <v>63</v>
      </c>
      <c r="K6" s="56">
        <v>109756064.14552327</v>
      </c>
      <c r="L6" s="7"/>
      <c r="M6" s="7"/>
      <c r="N6" s="7"/>
      <c r="O6" s="7"/>
      <c r="Q6" s="13">
        <v>3</v>
      </c>
      <c r="R6" s="7" t="s">
        <v>63</v>
      </c>
      <c r="S6" s="56">
        <v>-0.17488889195374213</v>
      </c>
      <c r="T6" s="7"/>
      <c r="U6" s="7"/>
      <c r="V6" s="7"/>
      <c r="W6" s="7"/>
    </row>
    <row r="7" spans="1:31" x14ac:dyDescent="0.25">
      <c r="A7" s="13">
        <v>4</v>
      </c>
      <c r="B7" s="7" t="s">
        <v>62</v>
      </c>
      <c r="C7" s="55">
        <v>70678010.089287356</v>
      </c>
      <c r="D7" s="7"/>
      <c r="E7" s="7"/>
      <c r="F7" s="7"/>
      <c r="G7" s="7"/>
      <c r="I7" s="13">
        <v>4</v>
      </c>
      <c r="J7" s="7" t="s">
        <v>62</v>
      </c>
      <c r="K7" s="55">
        <v>67956976.598014444</v>
      </c>
      <c r="L7" s="7"/>
      <c r="M7" s="7"/>
      <c r="N7" s="7"/>
      <c r="O7" s="7"/>
      <c r="Q7" s="13">
        <v>4</v>
      </c>
      <c r="R7" s="7" t="s">
        <v>62</v>
      </c>
      <c r="S7" s="55">
        <v>65443336.194616556</v>
      </c>
      <c r="T7" s="7"/>
      <c r="U7" s="7"/>
      <c r="V7" s="7"/>
      <c r="W7" s="7"/>
    </row>
    <row r="8" spans="1:31" x14ac:dyDescent="0.25">
      <c r="A8" s="13">
        <v>5</v>
      </c>
      <c r="B8" s="7" t="s">
        <v>61</v>
      </c>
      <c r="C8" s="55">
        <v>1369975805.6532323</v>
      </c>
      <c r="D8" s="7"/>
      <c r="E8" s="7"/>
      <c r="F8" s="7"/>
      <c r="G8" s="7"/>
      <c r="I8" s="13">
        <v>5</v>
      </c>
      <c r="J8" s="7" t="s">
        <v>61</v>
      </c>
      <c r="K8" s="55">
        <v>1308898119.0505416</v>
      </c>
      <c r="L8" s="7"/>
      <c r="M8" s="7"/>
      <c r="N8" s="7"/>
      <c r="O8" s="7"/>
      <c r="Q8" s="13">
        <v>5</v>
      </c>
      <c r="R8" s="7" t="s">
        <v>61</v>
      </c>
      <c r="S8" s="55">
        <v>3979951449.5829916</v>
      </c>
      <c r="T8" s="7"/>
      <c r="U8" s="7"/>
      <c r="V8" s="7"/>
      <c r="W8" s="7"/>
    </row>
    <row r="9" spans="1:31" x14ac:dyDescent="0.25">
      <c r="A9" s="13">
        <f>+A8+1</f>
        <v>6</v>
      </c>
      <c r="B9" s="7" t="s">
        <v>60</v>
      </c>
      <c r="C9" s="54">
        <f>SUM(C6:C8)</f>
        <v>1564202117.6151261</v>
      </c>
      <c r="D9" s="7"/>
      <c r="E9" s="7"/>
      <c r="F9" s="7"/>
      <c r="G9" s="7"/>
      <c r="I9" s="13">
        <f>+I8+1</f>
        <v>6</v>
      </c>
      <c r="J9" s="7" t="s">
        <v>60</v>
      </c>
      <c r="K9" s="54">
        <f>SUM(K6:K8)</f>
        <v>1486611159.7940793</v>
      </c>
      <c r="L9" s="7"/>
      <c r="M9" s="7"/>
      <c r="N9" s="7"/>
      <c r="O9" s="7"/>
      <c r="Q9" s="13">
        <f>+Q8+1</f>
        <v>6</v>
      </c>
      <c r="R9" s="7" t="s">
        <v>60</v>
      </c>
      <c r="S9" s="54">
        <f>SUM(S6:S8)</f>
        <v>4045394785.6027193</v>
      </c>
      <c r="T9" s="7"/>
      <c r="U9" s="7"/>
      <c r="V9" s="7"/>
      <c r="W9" s="7"/>
    </row>
    <row r="10" spans="1:31" x14ac:dyDescent="0.25">
      <c r="A10" s="13">
        <f>+A9+1</f>
        <v>7</v>
      </c>
      <c r="B10" s="45" t="s">
        <v>59</v>
      </c>
      <c r="C10" s="51">
        <v>6.6200000000000009E-2</v>
      </c>
      <c r="D10" s="53"/>
      <c r="E10" s="53"/>
      <c r="F10" s="48" t="s">
        <v>18</v>
      </c>
      <c r="G10" s="48" t="s">
        <v>58</v>
      </c>
      <c r="I10" s="13">
        <f>+I9+1</f>
        <v>7</v>
      </c>
      <c r="J10" s="45" t="s">
        <v>59</v>
      </c>
      <c r="K10" s="51">
        <v>6.6200000000000009E-2</v>
      </c>
      <c r="L10" s="53"/>
      <c r="M10" s="53"/>
      <c r="N10" s="48" t="s">
        <v>18</v>
      </c>
      <c r="O10" s="48" t="s">
        <v>58</v>
      </c>
      <c r="Q10" s="13">
        <f>+Q9+1</f>
        <v>7</v>
      </c>
      <c r="R10" s="45" t="s">
        <v>59</v>
      </c>
      <c r="S10" s="51">
        <v>0</v>
      </c>
      <c r="T10" s="53"/>
      <c r="U10" s="53"/>
      <c r="V10" s="48" t="s">
        <v>18</v>
      </c>
      <c r="W10" s="48" t="s">
        <v>58</v>
      </c>
    </row>
    <row r="11" spans="1:31" x14ac:dyDescent="0.25">
      <c r="A11" s="13">
        <f>+A10+1</f>
        <v>8</v>
      </c>
      <c r="B11" s="45"/>
      <c r="C11" s="51"/>
      <c r="D11" s="48" t="s">
        <v>57</v>
      </c>
      <c r="E11" s="48"/>
      <c r="F11" s="48" t="s">
        <v>56</v>
      </c>
      <c r="G11" s="48" t="s">
        <v>56</v>
      </c>
      <c r="I11" s="13">
        <f>+I10+1</f>
        <v>8</v>
      </c>
      <c r="J11" s="45"/>
      <c r="K11" s="51"/>
      <c r="L11" s="48" t="s">
        <v>57</v>
      </c>
      <c r="M11" s="48"/>
      <c r="N11" s="48" t="s">
        <v>56</v>
      </c>
      <c r="O11" s="48" t="s">
        <v>56</v>
      </c>
      <c r="Q11" s="13">
        <f>+Q10+1</f>
        <v>8</v>
      </c>
      <c r="R11" s="45"/>
      <c r="S11" s="51"/>
      <c r="T11" s="48" t="s">
        <v>57</v>
      </c>
      <c r="U11" s="48"/>
      <c r="V11" s="48" t="s">
        <v>56</v>
      </c>
      <c r="W11" s="48" t="s">
        <v>56</v>
      </c>
      <c r="Z11" s="3"/>
      <c r="AB11" s="3"/>
    </row>
    <row r="12" spans="1:31" x14ac:dyDescent="0.25">
      <c r="A12" s="13">
        <f>+A11+1</f>
        <v>9</v>
      </c>
      <c r="B12" s="52"/>
      <c r="C12" s="51"/>
      <c r="D12" s="50" t="s">
        <v>55</v>
      </c>
      <c r="E12" s="50"/>
      <c r="F12" s="49" t="s">
        <v>54</v>
      </c>
      <c r="G12" s="49" t="s">
        <v>53</v>
      </c>
      <c r="I12" s="13">
        <f>+I11+1</f>
        <v>9</v>
      </c>
      <c r="J12" s="52"/>
      <c r="K12" s="51"/>
      <c r="L12" s="50" t="s">
        <v>55</v>
      </c>
      <c r="M12" s="50"/>
      <c r="N12" s="49" t="s">
        <v>54</v>
      </c>
      <c r="O12" s="49" t="s">
        <v>53</v>
      </c>
      <c r="Q12" s="13">
        <f>+Q11+1</f>
        <v>9</v>
      </c>
      <c r="R12" s="52"/>
      <c r="S12" s="51"/>
      <c r="T12" s="50" t="s">
        <v>55</v>
      </c>
      <c r="U12" s="50"/>
      <c r="V12" s="49" t="s">
        <v>54</v>
      </c>
      <c r="W12" s="49" t="s">
        <v>53</v>
      </c>
      <c r="Z12" s="3"/>
      <c r="AA12" s="3"/>
      <c r="AB12" s="3"/>
    </row>
    <row r="13" spans="1:31" x14ac:dyDescent="0.25">
      <c r="A13" s="13" t="s">
        <v>52</v>
      </c>
      <c r="B13" s="45"/>
      <c r="C13" s="48" t="s">
        <v>51</v>
      </c>
      <c r="D13" s="47" t="s">
        <v>50</v>
      </c>
      <c r="E13" s="47" t="s">
        <v>49</v>
      </c>
      <c r="F13" s="47" t="s">
        <v>48</v>
      </c>
      <c r="G13" s="47" t="s">
        <v>47</v>
      </c>
      <c r="I13" s="13" t="s">
        <v>52</v>
      </c>
      <c r="J13" s="45"/>
      <c r="K13" s="48" t="s">
        <v>51</v>
      </c>
      <c r="L13" s="47" t="s">
        <v>50</v>
      </c>
      <c r="M13" s="47" t="s">
        <v>49</v>
      </c>
      <c r="N13" s="47" t="s">
        <v>48</v>
      </c>
      <c r="O13" s="47" t="s">
        <v>47</v>
      </c>
      <c r="Q13" s="13" t="s">
        <v>52</v>
      </c>
      <c r="R13" s="45"/>
      <c r="S13" s="48" t="s">
        <v>51</v>
      </c>
      <c r="T13" s="47" t="s">
        <v>50</v>
      </c>
      <c r="U13" s="47" t="s">
        <v>49</v>
      </c>
      <c r="V13" s="47" t="s">
        <v>48</v>
      </c>
      <c r="W13" s="47" t="s">
        <v>47</v>
      </c>
    </row>
    <row r="14" spans="1:31" x14ac:dyDescent="0.25">
      <c r="A14" s="13">
        <v>10</v>
      </c>
      <c r="B14" s="45" t="s">
        <v>46</v>
      </c>
      <c r="C14" s="46">
        <f>(C6*C$10/0.79)</f>
        <v>10353034.916413361</v>
      </c>
      <c r="D14" s="11">
        <f t="shared" ref="D14:D22" si="0">ROUND(C14/C$39,3)</f>
        <v>0.52300000000000002</v>
      </c>
      <c r="E14" s="40" t="s">
        <v>16</v>
      </c>
      <c r="F14" s="46">
        <f>+C14</f>
        <v>10353034.916413361</v>
      </c>
      <c r="G14" s="46"/>
      <c r="I14" s="13">
        <v>10</v>
      </c>
      <c r="J14" s="45" t="s">
        <v>46</v>
      </c>
      <c r="K14" s="46">
        <f>(K6*K$10/0.79)</f>
        <v>9197280.3119413182</v>
      </c>
      <c r="L14" s="11">
        <f t="shared" ref="L14:L22" si="1">ROUND(K14/K$39,3)</f>
        <v>0.46</v>
      </c>
      <c r="M14" s="40" t="s">
        <v>16</v>
      </c>
      <c r="N14" s="46">
        <f>+K14</f>
        <v>9197280.3119413182</v>
      </c>
      <c r="O14" s="46"/>
      <c r="Q14" s="13">
        <v>10</v>
      </c>
      <c r="R14" s="45" t="s">
        <v>46</v>
      </c>
      <c r="S14" s="46">
        <f>(S6*S$10/0.79)</f>
        <v>0</v>
      </c>
      <c r="T14" s="11" t="e">
        <f t="shared" ref="T14:T22" si="2">ROUND(S14/S$39,3)</f>
        <v>#DIV/0!</v>
      </c>
      <c r="U14" s="40" t="s">
        <v>16</v>
      </c>
      <c r="V14" s="46">
        <f>+S14</f>
        <v>0</v>
      </c>
      <c r="W14" s="46"/>
    </row>
    <row r="15" spans="1:31" x14ac:dyDescent="0.25">
      <c r="A15" s="13" t="s">
        <v>45</v>
      </c>
      <c r="B15" s="45" t="s">
        <v>44</v>
      </c>
      <c r="C15" s="29">
        <v>4094424.0000000005</v>
      </c>
      <c r="D15" s="11">
        <f t="shared" si="0"/>
        <v>0.20699999999999999</v>
      </c>
      <c r="E15" s="40" t="s">
        <v>22</v>
      </c>
      <c r="F15" s="29"/>
      <c r="G15" s="29">
        <f>+C15</f>
        <v>4094424.0000000005</v>
      </c>
      <c r="I15" s="13" t="s">
        <v>45</v>
      </c>
      <c r="J15" s="45" t="s">
        <v>44</v>
      </c>
      <c r="K15" s="29">
        <v>4105641.6000000006</v>
      </c>
      <c r="L15" s="11">
        <f t="shared" si="1"/>
        <v>0.20499999999999999</v>
      </c>
      <c r="M15" s="40" t="s">
        <v>22</v>
      </c>
      <c r="N15" s="29"/>
      <c r="O15" s="29">
        <f>+K15</f>
        <v>4105641.6000000006</v>
      </c>
      <c r="Q15" s="13" t="s">
        <v>45</v>
      </c>
      <c r="R15" s="45" t="s">
        <v>44</v>
      </c>
      <c r="S15" s="29">
        <v>3232440</v>
      </c>
      <c r="T15" s="11" t="e">
        <f t="shared" si="2"/>
        <v>#DIV/0!</v>
      </c>
      <c r="U15" s="40" t="s">
        <v>22</v>
      </c>
      <c r="V15" s="29"/>
      <c r="W15" s="29">
        <f>+S15</f>
        <v>3232440</v>
      </c>
    </row>
    <row r="16" spans="1:31" x14ac:dyDescent="0.25">
      <c r="A16" s="13">
        <v>11</v>
      </c>
      <c r="B16" s="12" t="s">
        <v>43</v>
      </c>
      <c r="C16" s="29">
        <f>(C7*C$10/0.79)</f>
        <v>5922638.3138111681</v>
      </c>
      <c r="D16" s="11">
        <f t="shared" si="0"/>
        <v>0.29899999999999999</v>
      </c>
      <c r="E16" s="40" t="s">
        <v>16</v>
      </c>
      <c r="F16" s="29">
        <f>+C16</f>
        <v>5922638.3138111681</v>
      </c>
      <c r="G16" s="29"/>
      <c r="I16" s="13">
        <v>11</v>
      </c>
      <c r="J16" s="12" t="s">
        <v>43</v>
      </c>
      <c r="K16" s="29">
        <f>(K7*K$10/0.79)</f>
        <v>5694622.5959348818</v>
      </c>
      <c r="L16" s="11">
        <f t="shared" si="1"/>
        <v>0.28499999999999998</v>
      </c>
      <c r="M16" s="40" t="s">
        <v>16</v>
      </c>
      <c r="N16" s="29">
        <f>+K16</f>
        <v>5694622.5959348818</v>
      </c>
      <c r="O16" s="29"/>
      <c r="P16"/>
      <c r="Q16" s="13">
        <v>11</v>
      </c>
      <c r="R16" s="12" t="s">
        <v>43</v>
      </c>
      <c r="S16" s="29">
        <f>(S7*S$10/0.79)</f>
        <v>0</v>
      </c>
      <c r="T16" s="11" t="e">
        <f t="shared" si="2"/>
        <v>#DIV/0!</v>
      </c>
      <c r="U16" s="40" t="s">
        <v>16</v>
      </c>
      <c r="V16" s="29">
        <f>+S16</f>
        <v>0</v>
      </c>
      <c r="W16" s="29"/>
    </row>
    <row r="17" spans="1:26" x14ac:dyDescent="0.25">
      <c r="A17" s="13">
        <v>12</v>
      </c>
      <c r="B17" s="12" t="s">
        <v>42</v>
      </c>
      <c r="C17" s="29">
        <f>(C8*C$10/0.79)</f>
        <v>114800504.22056201</v>
      </c>
      <c r="D17" s="11">
        <f t="shared" si="0"/>
        <v>5.798</v>
      </c>
      <c r="E17" s="40" t="s">
        <v>16</v>
      </c>
      <c r="F17" s="29">
        <f>+C17</f>
        <v>114800504.22056201</v>
      </c>
      <c r="G17" s="29"/>
      <c r="I17" s="13">
        <v>12</v>
      </c>
      <c r="J17" s="12" t="s">
        <v>42</v>
      </c>
      <c r="K17" s="29">
        <f>(K8*K$10/0.79)</f>
        <v>109682348.71031123</v>
      </c>
      <c r="L17" s="11">
        <f t="shared" si="1"/>
        <v>5.4859999999999998</v>
      </c>
      <c r="M17" s="40" t="s">
        <v>16</v>
      </c>
      <c r="N17" s="29">
        <f>+K17</f>
        <v>109682348.71031123</v>
      </c>
      <c r="O17" s="29"/>
      <c r="P17"/>
      <c r="Q17" s="13">
        <v>12</v>
      </c>
      <c r="R17" s="12" t="s">
        <v>42</v>
      </c>
      <c r="S17" s="29">
        <f>(S8*$C$10/0.79)</f>
        <v>333509855.6486001</v>
      </c>
      <c r="T17" s="11" t="e">
        <f t="shared" si="2"/>
        <v>#DIV/0!</v>
      </c>
      <c r="U17" s="40" t="s">
        <v>16</v>
      </c>
      <c r="V17" s="29">
        <f>+S17</f>
        <v>333509855.6486001</v>
      </c>
      <c r="W17" s="29"/>
    </row>
    <row r="18" spans="1:26" x14ac:dyDescent="0.25">
      <c r="A18" s="13">
        <v>13</v>
      </c>
      <c r="B18" s="12" t="s">
        <v>41</v>
      </c>
      <c r="C18" s="29">
        <v>65690561.13598755</v>
      </c>
      <c r="D18" s="11">
        <f t="shared" si="0"/>
        <v>3.3180000000000001</v>
      </c>
      <c r="E18" s="40" t="s">
        <v>22</v>
      </c>
      <c r="F18" s="29"/>
      <c r="G18" s="165">
        <f>+C18</f>
        <v>65690561.13598755</v>
      </c>
      <c r="I18" s="13">
        <v>13</v>
      </c>
      <c r="J18" s="12" t="s">
        <v>41</v>
      </c>
      <c r="K18" s="29">
        <v>65690561.13598755</v>
      </c>
      <c r="L18" s="11">
        <f t="shared" si="1"/>
        <v>3.286</v>
      </c>
      <c r="M18" s="40" t="s">
        <v>22</v>
      </c>
      <c r="N18" s="29"/>
      <c r="O18" s="165">
        <f>+K18</f>
        <v>65690561.13598755</v>
      </c>
      <c r="P18"/>
      <c r="Q18" s="13">
        <v>13</v>
      </c>
      <c r="R18" s="12" t="s">
        <v>41</v>
      </c>
      <c r="S18" s="29">
        <v>44102798.880000003</v>
      </c>
      <c r="T18" s="11" t="e">
        <f t="shared" si="2"/>
        <v>#DIV/0!</v>
      </c>
      <c r="U18" s="40" t="s">
        <v>22</v>
      </c>
      <c r="V18" s="29"/>
      <c r="W18" s="29">
        <f>+S18</f>
        <v>44102798.880000003</v>
      </c>
    </row>
    <row r="19" spans="1:26" x14ac:dyDescent="0.25">
      <c r="A19" s="13">
        <v>14</v>
      </c>
      <c r="B19" s="12" t="s">
        <v>40</v>
      </c>
      <c r="C19" s="29">
        <v>827603384.29048145</v>
      </c>
      <c r="D19" s="11">
        <f t="shared" si="0"/>
        <v>41.798999999999999</v>
      </c>
      <c r="E19" s="40" t="s">
        <v>22</v>
      </c>
      <c r="F19" s="29"/>
      <c r="G19" s="166">
        <f>+C19</f>
        <v>827603384.29048145</v>
      </c>
      <c r="I19" s="13">
        <v>14</v>
      </c>
      <c r="J19" s="12" t="s">
        <v>40</v>
      </c>
      <c r="K19" s="29">
        <v>836497640.43728137</v>
      </c>
      <c r="L19" s="11">
        <f t="shared" si="1"/>
        <v>41.843000000000004</v>
      </c>
      <c r="M19" s="40" t="s">
        <v>22</v>
      </c>
      <c r="N19" s="29"/>
      <c r="O19" s="166">
        <f>+K19</f>
        <v>836497640.43728137</v>
      </c>
      <c r="P19"/>
      <c r="Q19" s="13">
        <v>14</v>
      </c>
      <c r="R19" s="12" t="s">
        <v>40</v>
      </c>
      <c r="S19" s="29">
        <v>578899870.43616784</v>
      </c>
      <c r="T19" s="11" t="e">
        <f t="shared" si="2"/>
        <v>#DIV/0!</v>
      </c>
      <c r="U19" s="40" t="s">
        <v>22</v>
      </c>
      <c r="V19" s="29"/>
      <c r="W19" s="29">
        <f>+S19</f>
        <v>578899870.43616784</v>
      </c>
    </row>
    <row r="20" spans="1:26" x14ac:dyDescent="0.25">
      <c r="A20" s="13">
        <v>15</v>
      </c>
      <c r="B20" s="12" t="s">
        <v>39</v>
      </c>
      <c r="C20" s="29">
        <v>13689650.642035643</v>
      </c>
      <c r="D20" s="11">
        <f t="shared" si="0"/>
        <v>0.69099999999999995</v>
      </c>
      <c r="E20" s="40" t="s">
        <v>16</v>
      </c>
      <c r="F20" s="29">
        <f>+C20</f>
        <v>13689650.642035643</v>
      </c>
      <c r="G20" s="29"/>
      <c r="I20" s="13">
        <v>15</v>
      </c>
      <c r="J20" s="12" t="s">
        <v>39</v>
      </c>
      <c r="K20" s="29">
        <v>14134394.659065126</v>
      </c>
      <c r="L20" s="11">
        <f t="shared" si="1"/>
        <v>0.70699999999999996</v>
      </c>
      <c r="M20" s="40" t="s">
        <v>16</v>
      </c>
      <c r="N20" s="29">
        <f>+K20</f>
        <v>14134394.659065126</v>
      </c>
      <c r="O20" s="29"/>
      <c r="P20"/>
      <c r="Q20" s="13">
        <v>15</v>
      </c>
      <c r="R20" s="12" t="s">
        <v>39</v>
      </c>
      <c r="S20" s="29">
        <v>14502718.458247431</v>
      </c>
      <c r="T20" s="11" t="e">
        <f t="shared" si="2"/>
        <v>#DIV/0!</v>
      </c>
      <c r="U20" s="40" t="s">
        <v>16</v>
      </c>
      <c r="V20" s="29">
        <f>+S20</f>
        <v>14502718.458247431</v>
      </c>
      <c r="W20" s="29"/>
    </row>
    <row r="21" spans="1:26" x14ac:dyDescent="0.25">
      <c r="A21" s="13" t="s">
        <v>38</v>
      </c>
      <c r="B21" s="43" t="s">
        <v>37</v>
      </c>
      <c r="C21" s="29">
        <v>8696041.0687875245</v>
      </c>
      <c r="D21" s="11">
        <f t="shared" si="0"/>
        <v>0.439</v>
      </c>
      <c r="E21" s="40" t="s">
        <v>16</v>
      </c>
      <c r="F21" s="29">
        <f>+C21</f>
        <v>8696041.0687875245</v>
      </c>
      <c r="G21" s="29"/>
      <c r="I21" s="13" t="s">
        <v>38</v>
      </c>
      <c r="J21" s="43" t="s">
        <v>37</v>
      </c>
      <c r="K21" s="29">
        <v>8948835.5679956824</v>
      </c>
      <c r="L21" s="11">
        <f t="shared" si="1"/>
        <v>0.44800000000000001</v>
      </c>
      <c r="M21" s="40" t="s">
        <v>16</v>
      </c>
      <c r="N21" s="29">
        <f>+K21</f>
        <v>8948835.5679956824</v>
      </c>
      <c r="O21" s="29"/>
      <c r="P21"/>
      <c r="Q21" s="13" t="s">
        <v>38</v>
      </c>
      <c r="R21" s="43" t="s">
        <v>37</v>
      </c>
      <c r="S21" s="29">
        <v>9210031.3419006318</v>
      </c>
      <c r="T21" s="11" t="e">
        <f t="shared" si="2"/>
        <v>#DIV/0!</v>
      </c>
      <c r="U21" s="40" t="s">
        <v>16</v>
      </c>
      <c r="V21" s="29">
        <f>+S21</f>
        <v>9210031.3419006318</v>
      </c>
      <c r="W21" s="29"/>
    </row>
    <row r="22" spans="1:26" x14ac:dyDescent="0.25">
      <c r="A22" s="13" t="s">
        <v>35</v>
      </c>
      <c r="B22" s="43" t="s">
        <v>36</v>
      </c>
      <c r="C22" s="29">
        <v>4192840</v>
      </c>
      <c r="D22" s="11">
        <f t="shared" si="0"/>
        <v>0.21199999999999999</v>
      </c>
      <c r="E22" s="40" t="s">
        <v>16</v>
      </c>
      <c r="F22" s="29">
        <f>+C22</f>
        <v>4192840</v>
      </c>
      <c r="G22" s="29"/>
      <c r="I22" s="13" t="s">
        <v>35</v>
      </c>
      <c r="J22" s="43" t="s">
        <v>123</v>
      </c>
      <c r="K22" s="29">
        <v>4192840</v>
      </c>
      <c r="L22" s="11">
        <f t="shared" si="1"/>
        <v>0.21</v>
      </c>
      <c r="M22" s="40" t="s">
        <v>16</v>
      </c>
      <c r="N22" s="29">
        <f>+K22</f>
        <v>4192840</v>
      </c>
      <c r="O22" s="29"/>
      <c r="P22"/>
      <c r="Q22" s="13" t="s">
        <v>35</v>
      </c>
      <c r="R22" s="43" t="s">
        <v>123</v>
      </c>
      <c r="S22" s="29">
        <v>4192840</v>
      </c>
      <c r="T22" s="11" t="e">
        <f t="shared" si="2"/>
        <v>#DIV/0!</v>
      </c>
      <c r="U22" s="40" t="s">
        <v>16</v>
      </c>
      <c r="V22" s="29">
        <f>+S22</f>
        <v>4192840</v>
      </c>
      <c r="W22" s="29"/>
    </row>
    <row r="23" spans="1:26" x14ac:dyDescent="0.25">
      <c r="A23" s="13" t="s">
        <v>34</v>
      </c>
      <c r="B23" s="43" t="s">
        <v>33</v>
      </c>
      <c r="C23" s="44" t="s">
        <v>32</v>
      </c>
      <c r="D23" s="44" t="s">
        <v>32</v>
      </c>
      <c r="E23" s="40" t="s">
        <v>22</v>
      </c>
      <c r="F23" s="29"/>
      <c r="G23" s="44"/>
      <c r="I23" s="13" t="s">
        <v>34</v>
      </c>
      <c r="J23" s="43" t="s">
        <v>33</v>
      </c>
      <c r="K23" s="44" t="s">
        <v>32</v>
      </c>
      <c r="L23" s="44" t="s">
        <v>32</v>
      </c>
      <c r="M23" s="40" t="s">
        <v>22</v>
      </c>
      <c r="N23" s="29"/>
      <c r="O23" s="44"/>
      <c r="P23"/>
      <c r="Q23" s="13" t="s">
        <v>34</v>
      </c>
      <c r="R23" s="43" t="s">
        <v>33</v>
      </c>
      <c r="S23" s="44" t="s">
        <v>32</v>
      </c>
      <c r="T23" s="44" t="s">
        <v>32</v>
      </c>
      <c r="U23" s="40" t="s">
        <v>22</v>
      </c>
      <c r="V23" s="29"/>
      <c r="W23" s="44"/>
    </row>
    <row r="24" spans="1:26" x14ac:dyDescent="0.25">
      <c r="A24" s="13" t="s">
        <v>31</v>
      </c>
      <c r="B24" s="43" t="s">
        <v>30</v>
      </c>
      <c r="C24" s="29">
        <v>2560258.6045864965</v>
      </c>
      <c r="D24" s="11">
        <f t="shared" ref="D24:D35" si="3">ROUND(C24/C$39,3)</f>
        <v>0.129</v>
      </c>
      <c r="E24" s="40" t="s">
        <v>16</v>
      </c>
      <c r="F24" s="29">
        <f>+C24</f>
        <v>2560258.6045864965</v>
      </c>
      <c r="G24" s="29"/>
      <c r="I24" s="13" t="s">
        <v>31</v>
      </c>
      <c r="J24" s="43" t="s">
        <v>30</v>
      </c>
      <c r="K24" s="29">
        <v>2634871.234340121</v>
      </c>
      <c r="L24" s="11">
        <f t="shared" ref="L24:L35" si="4">ROUND(K24/K$39,3)</f>
        <v>0.13200000000000001</v>
      </c>
      <c r="M24" s="40" t="s">
        <v>16</v>
      </c>
      <c r="N24" s="29">
        <f>+K24</f>
        <v>2634871.234340121</v>
      </c>
      <c r="O24" s="29"/>
      <c r="P24"/>
      <c r="Q24" s="13" t="s">
        <v>31</v>
      </c>
      <c r="R24" s="43" t="s">
        <v>30</v>
      </c>
      <c r="S24" s="29">
        <v>2711944.1354569984</v>
      </c>
      <c r="T24" s="11" t="e">
        <f t="shared" ref="T24:T35" si="5">ROUND(S24/S$39,3)</f>
        <v>#DIV/0!</v>
      </c>
      <c r="U24" s="40" t="s">
        <v>16</v>
      </c>
      <c r="V24" s="29">
        <f>+S24</f>
        <v>2711944.1354569984</v>
      </c>
      <c r="W24" s="29"/>
    </row>
    <row r="25" spans="1:26" x14ac:dyDescent="0.25">
      <c r="A25" s="13" t="s">
        <v>29</v>
      </c>
      <c r="B25" s="43" t="s">
        <v>28</v>
      </c>
      <c r="C25" s="29">
        <v>521380.09600000002</v>
      </c>
      <c r="D25" s="11">
        <f t="shared" si="3"/>
        <v>2.5999999999999999E-2</v>
      </c>
      <c r="E25" s="40" t="s">
        <v>22</v>
      </c>
      <c r="F25" s="29"/>
      <c r="G25" s="29">
        <f>+C25</f>
        <v>521380.09600000002</v>
      </c>
      <c r="I25" s="13" t="s">
        <v>29</v>
      </c>
      <c r="J25" s="43" t="s">
        <v>28</v>
      </c>
      <c r="K25" s="29">
        <v>533893.21830399998</v>
      </c>
      <c r="L25" s="11">
        <f t="shared" si="4"/>
        <v>2.7E-2</v>
      </c>
      <c r="M25" s="40" t="s">
        <v>22</v>
      </c>
      <c r="N25" s="29"/>
      <c r="O25" s="29">
        <f>+K25</f>
        <v>533893.21830399998</v>
      </c>
      <c r="P25" s="158"/>
      <c r="Q25" s="13" t="s">
        <v>29</v>
      </c>
      <c r="R25" s="43" t="s">
        <v>28</v>
      </c>
      <c r="S25" s="29">
        <v>546706.65554329602</v>
      </c>
      <c r="T25" s="11" t="e">
        <f t="shared" si="5"/>
        <v>#DIV/0!</v>
      </c>
      <c r="U25" s="40" t="s">
        <v>22</v>
      </c>
      <c r="V25" s="29"/>
      <c r="W25" s="29">
        <f>+S25</f>
        <v>546706.65554329602</v>
      </c>
    </row>
    <row r="26" spans="1:26" x14ac:dyDescent="0.25">
      <c r="A26" s="13">
        <v>16</v>
      </c>
      <c r="B26" s="12" t="s">
        <v>27</v>
      </c>
      <c r="C26" s="29">
        <v>500342454.47306603</v>
      </c>
      <c r="D26" s="11">
        <f t="shared" si="3"/>
        <v>25.27</v>
      </c>
      <c r="E26" s="40" t="s">
        <v>22</v>
      </c>
      <c r="F26" s="29"/>
      <c r="G26" s="165">
        <f>+C26</f>
        <v>500342454.47306603</v>
      </c>
      <c r="I26" s="13">
        <v>16</v>
      </c>
      <c r="J26" s="12" t="s">
        <v>27</v>
      </c>
      <c r="K26" s="29">
        <v>500342454.47306603</v>
      </c>
      <c r="L26" s="11">
        <f t="shared" si="4"/>
        <v>25.027999999999999</v>
      </c>
      <c r="M26" s="40" t="s">
        <v>22</v>
      </c>
      <c r="N26" s="29"/>
      <c r="O26" s="165">
        <f>+K26</f>
        <v>500342454.47306603</v>
      </c>
      <c r="P26" s="158"/>
      <c r="Q26" s="13">
        <v>16</v>
      </c>
      <c r="R26" s="12" t="s">
        <v>27</v>
      </c>
      <c r="S26" s="29">
        <v>207712023.88428909</v>
      </c>
      <c r="T26" s="11" t="e">
        <f t="shared" si="5"/>
        <v>#DIV/0!</v>
      </c>
      <c r="U26" s="40" t="s">
        <v>22</v>
      </c>
      <c r="V26" s="29"/>
      <c r="W26" s="29">
        <f>+S26</f>
        <v>207712023.88428909</v>
      </c>
    </row>
    <row r="27" spans="1:26" x14ac:dyDescent="0.25">
      <c r="A27" s="13">
        <v>17</v>
      </c>
      <c r="B27" s="12" t="s">
        <v>26</v>
      </c>
      <c r="C27" s="29">
        <v>135051870.15063089</v>
      </c>
      <c r="D27" s="11">
        <f t="shared" si="3"/>
        <v>6.8209999999999997</v>
      </c>
      <c r="E27" s="40" t="s">
        <v>22</v>
      </c>
      <c r="F27" s="29"/>
      <c r="G27" s="165">
        <f>+C27</f>
        <v>135051870.15063089</v>
      </c>
      <c r="I27" s="13">
        <v>17</v>
      </c>
      <c r="J27" s="12" t="s">
        <v>26</v>
      </c>
      <c r="K27" s="29">
        <v>135051870.15063089</v>
      </c>
      <c r="L27" s="11">
        <f t="shared" si="4"/>
        <v>6.7549999999999999</v>
      </c>
      <c r="M27" s="40" t="s">
        <v>22</v>
      </c>
      <c r="N27" s="29"/>
      <c r="O27" s="165">
        <f>+K27</f>
        <v>135051870.15063089</v>
      </c>
      <c r="P27" s="158"/>
      <c r="Q27" s="13">
        <v>17</v>
      </c>
      <c r="R27" s="12" t="s">
        <v>26</v>
      </c>
      <c r="S27" s="29">
        <v>142481594.35804957</v>
      </c>
      <c r="T27" s="11" t="e">
        <f t="shared" si="5"/>
        <v>#DIV/0!</v>
      </c>
      <c r="U27" s="40" t="s">
        <v>22</v>
      </c>
      <c r="V27" s="29"/>
      <c r="W27" s="29">
        <f>+S27</f>
        <v>142481594.35804957</v>
      </c>
    </row>
    <row r="28" spans="1:26" x14ac:dyDescent="0.25">
      <c r="A28" s="13">
        <v>18</v>
      </c>
      <c r="B28" s="12" t="s">
        <v>25</v>
      </c>
      <c r="C28" s="29">
        <v>-4966372.7605920909</v>
      </c>
      <c r="D28" s="11">
        <f t="shared" si="3"/>
        <v>-0.251</v>
      </c>
      <c r="E28" s="40" t="s">
        <v>16</v>
      </c>
      <c r="F28" s="29">
        <f>+C28</f>
        <v>-4966372.7605920909</v>
      </c>
      <c r="G28" s="29"/>
      <c r="I28" s="13">
        <v>18</v>
      </c>
      <c r="J28" s="12" t="s">
        <v>25</v>
      </c>
      <c r="K28" s="29">
        <v>-5115744.6620968897</v>
      </c>
      <c r="L28" s="11">
        <f t="shared" si="4"/>
        <v>-0.25600000000000001</v>
      </c>
      <c r="M28" s="40" t="s">
        <v>16</v>
      </c>
      <c r="N28" s="29">
        <f>+K28</f>
        <v>-5115744.6620968897</v>
      </c>
      <c r="O28" s="29"/>
      <c r="P28" s="158"/>
      <c r="Q28" s="13">
        <v>18</v>
      </c>
      <c r="R28" s="12" t="s">
        <v>25</v>
      </c>
      <c r="S28" s="29">
        <v>-5269217.0019597961</v>
      </c>
      <c r="T28" s="11" t="e">
        <f t="shared" si="5"/>
        <v>#DIV/0!</v>
      </c>
      <c r="U28" s="40" t="s">
        <v>16</v>
      </c>
      <c r="V28" s="29">
        <f>+S28</f>
        <v>-5269217.0019597961</v>
      </c>
      <c r="W28" s="29"/>
    </row>
    <row r="29" spans="1:26" x14ac:dyDescent="0.25">
      <c r="A29" s="13">
        <v>19</v>
      </c>
      <c r="B29" s="12" t="s">
        <v>24</v>
      </c>
      <c r="C29" s="29">
        <v>95361604.0746582</v>
      </c>
      <c r="D29" s="11">
        <f t="shared" si="3"/>
        <v>4.8159999999999998</v>
      </c>
      <c r="E29" s="40" t="s">
        <v>16</v>
      </c>
      <c r="F29" s="29">
        <f>+C29</f>
        <v>95361604.0746582</v>
      </c>
      <c r="G29" s="29"/>
      <c r="I29" s="13">
        <v>19</v>
      </c>
      <c r="J29" s="12" t="s">
        <v>24</v>
      </c>
      <c r="K29" s="29">
        <v>93947588.198774248</v>
      </c>
      <c r="L29" s="11">
        <f t="shared" si="4"/>
        <v>4.6989999999999998</v>
      </c>
      <c r="M29" s="40" t="s">
        <v>16</v>
      </c>
      <c r="N29" s="29">
        <f>+K29</f>
        <v>93947588.198774248</v>
      </c>
      <c r="O29" s="29"/>
      <c r="P29" s="158"/>
      <c r="Q29" s="13">
        <v>19</v>
      </c>
      <c r="R29" s="12" t="s">
        <v>24</v>
      </c>
      <c r="S29" s="29" t="e">
        <v>#REF!</v>
      </c>
      <c r="T29" s="11" t="e">
        <f t="shared" si="5"/>
        <v>#REF!</v>
      </c>
      <c r="U29" s="40" t="s">
        <v>16</v>
      </c>
      <c r="V29" s="29" t="e">
        <f>+S29</f>
        <v>#REF!</v>
      </c>
      <c r="W29" s="29"/>
    </row>
    <row r="30" spans="1:26" x14ac:dyDescent="0.25">
      <c r="A30" s="13">
        <v>20</v>
      </c>
      <c r="B30" s="12" t="s">
        <v>1</v>
      </c>
      <c r="C30" s="29">
        <v>-482089567.40599996</v>
      </c>
      <c r="D30" s="11">
        <f t="shared" si="3"/>
        <v>-24.347999999999999</v>
      </c>
      <c r="E30" s="40" t="s">
        <v>22</v>
      </c>
      <c r="F30" s="29"/>
      <c r="G30" s="165">
        <f>+C30</f>
        <v>-482089567.40599996</v>
      </c>
      <c r="I30" s="13">
        <v>20</v>
      </c>
      <c r="J30" s="12" t="s">
        <v>1</v>
      </c>
      <c r="K30" s="29">
        <v>-482089567.40599996</v>
      </c>
      <c r="L30" s="11">
        <f t="shared" si="4"/>
        <v>-24.114999999999998</v>
      </c>
      <c r="M30" s="40" t="s">
        <v>22</v>
      </c>
      <c r="N30" s="29"/>
      <c r="O30" s="165">
        <f>+K30</f>
        <v>-482089567.40599996</v>
      </c>
      <c r="P30" s="158"/>
      <c r="Q30" s="13">
        <v>20</v>
      </c>
      <c r="R30" s="12" t="s">
        <v>1</v>
      </c>
      <c r="S30" s="29">
        <v>-115324263.748</v>
      </c>
      <c r="T30" s="11" t="e">
        <f t="shared" si="5"/>
        <v>#DIV/0!</v>
      </c>
      <c r="U30" s="40" t="s">
        <v>22</v>
      </c>
      <c r="V30" s="29"/>
      <c r="W30" s="29">
        <f>+S30</f>
        <v>-115324263.748</v>
      </c>
    </row>
    <row r="31" spans="1:26" x14ac:dyDescent="0.25">
      <c r="A31" s="13">
        <v>21</v>
      </c>
      <c r="B31" s="42" t="s">
        <v>23</v>
      </c>
      <c r="C31" s="29">
        <v>-130266755.17406844</v>
      </c>
      <c r="D31" s="11">
        <f t="shared" si="3"/>
        <v>-6.5789999999999997</v>
      </c>
      <c r="E31" s="40" t="s">
        <v>22</v>
      </c>
      <c r="F31" s="29"/>
      <c r="G31" s="165">
        <f>+C31</f>
        <v>-130266755.17406844</v>
      </c>
      <c r="I31" s="13">
        <v>21</v>
      </c>
      <c r="J31" s="42" t="s">
        <v>23</v>
      </c>
      <c r="K31" s="29">
        <v>-130266755.17406844</v>
      </c>
      <c r="L31" s="11">
        <f t="shared" si="4"/>
        <v>-6.516</v>
      </c>
      <c r="M31" s="40" t="s">
        <v>22</v>
      </c>
      <c r="N31" s="29"/>
      <c r="O31" s="165">
        <f>+K31</f>
        <v>-130266755.17406844</v>
      </c>
      <c r="P31" s="158"/>
      <c r="Q31" s="13">
        <v>21</v>
      </c>
      <c r="R31" s="42" t="s">
        <v>23</v>
      </c>
      <c r="S31" s="29">
        <v>-24671916.034157109</v>
      </c>
      <c r="T31" s="11" t="e">
        <f t="shared" si="5"/>
        <v>#DIV/0!</v>
      </c>
      <c r="U31" s="40" t="s">
        <v>22</v>
      </c>
      <c r="V31" s="29"/>
      <c r="W31" s="29">
        <f>+S31</f>
        <v>-24671916.034157109</v>
      </c>
      <c r="Z31" s="1" t="s">
        <v>122</v>
      </c>
    </row>
    <row r="32" spans="1:26" x14ac:dyDescent="0.25">
      <c r="A32" s="13">
        <v>22</v>
      </c>
      <c r="B32" s="12" t="s">
        <v>21</v>
      </c>
      <c r="C32" s="29">
        <v>607112.90474832</v>
      </c>
      <c r="D32" s="11">
        <f t="shared" si="3"/>
        <v>3.1E-2</v>
      </c>
      <c r="E32" s="40" t="s">
        <v>16</v>
      </c>
      <c r="F32" s="29">
        <f>+C32</f>
        <v>607112.90474832</v>
      </c>
      <c r="G32" s="29"/>
      <c r="I32" s="13">
        <v>22</v>
      </c>
      <c r="J32" s="12" t="s">
        <v>21</v>
      </c>
      <c r="K32" s="29">
        <v>613543.21744328644</v>
      </c>
      <c r="L32" s="11">
        <f t="shared" si="4"/>
        <v>3.1E-2</v>
      </c>
      <c r="M32" s="40" t="s">
        <v>16</v>
      </c>
      <c r="N32" s="29">
        <f>+K32</f>
        <v>613543.21744328644</v>
      </c>
      <c r="O32" s="29"/>
      <c r="P32" s="158"/>
      <c r="Q32" s="13">
        <v>22</v>
      </c>
      <c r="R32" s="12" t="s">
        <v>21</v>
      </c>
      <c r="S32" s="29">
        <v>620102.13639215217</v>
      </c>
      <c r="T32" s="11" t="e">
        <f t="shared" si="5"/>
        <v>#DIV/0!</v>
      </c>
      <c r="U32" s="40" t="s">
        <v>16</v>
      </c>
      <c r="V32" s="29">
        <f>+S32</f>
        <v>620102.13639215217</v>
      </c>
      <c r="W32" s="29"/>
      <c r="Z32" s="1" t="s">
        <v>121</v>
      </c>
    </row>
    <row r="33" spans="1:32" x14ac:dyDescent="0.25">
      <c r="A33" s="13">
        <v>23</v>
      </c>
      <c r="B33" s="41" t="s">
        <v>20</v>
      </c>
      <c r="C33" s="29">
        <v>127665511.45552061</v>
      </c>
      <c r="D33" s="11">
        <f t="shared" si="3"/>
        <v>6.4480000000000004</v>
      </c>
      <c r="E33" s="40" t="s">
        <v>16</v>
      </c>
      <c r="F33" s="29">
        <f>+C33</f>
        <v>127665511.45552061</v>
      </c>
      <c r="G33" s="29"/>
      <c r="I33" s="13">
        <v>23</v>
      </c>
      <c r="J33" s="41" t="s">
        <v>20</v>
      </c>
      <c r="K33" s="29">
        <v>129553914.2655206</v>
      </c>
      <c r="L33" s="11">
        <f t="shared" si="4"/>
        <v>6.48</v>
      </c>
      <c r="M33" s="40" t="s">
        <v>16</v>
      </c>
      <c r="N33" s="29">
        <f>+K33</f>
        <v>129553914.2655206</v>
      </c>
      <c r="O33" s="29"/>
      <c r="P33" s="158"/>
      <c r="Q33" s="13">
        <v>23</v>
      </c>
      <c r="R33" s="41" t="s">
        <v>20</v>
      </c>
      <c r="S33" s="29">
        <v>-16160245.174479425</v>
      </c>
      <c r="T33" s="11" t="e">
        <f t="shared" si="5"/>
        <v>#DIV/0!</v>
      </c>
      <c r="U33" s="40" t="s">
        <v>16</v>
      </c>
      <c r="V33" s="29">
        <f>+S33</f>
        <v>-16160245.174479425</v>
      </c>
      <c r="W33" s="29"/>
    </row>
    <row r="34" spans="1:32" x14ac:dyDescent="0.25">
      <c r="A34" s="13">
        <v>24</v>
      </c>
      <c r="B34" s="41" t="s">
        <v>19</v>
      </c>
      <c r="C34" s="29">
        <v>3584179.3098769998</v>
      </c>
      <c r="D34" s="11">
        <f t="shared" si="3"/>
        <v>0.18099999999999999</v>
      </c>
      <c r="E34" s="40" t="s">
        <v>16</v>
      </c>
      <c r="F34" s="29">
        <f>+C34</f>
        <v>3584179.3098769998</v>
      </c>
      <c r="G34" s="29"/>
      <c r="I34" s="13">
        <v>24</v>
      </c>
      <c r="J34" s="41" t="s">
        <v>19</v>
      </c>
      <c r="K34" s="29">
        <v>3448893.376377047</v>
      </c>
      <c r="L34" s="11">
        <f t="shared" si="4"/>
        <v>0.17299999999999999</v>
      </c>
      <c r="M34" s="40" t="s">
        <v>16</v>
      </c>
      <c r="N34" s="29">
        <f>+K34</f>
        <v>3448893.376377047</v>
      </c>
      <c r="O34" s="29"/>
      <c r="P34" s="158"/>
      <c r="Q34" s="13">
        <v>24</v>
      </c>
      <c r="R34" s="41" t="s">
        <v>19</v>
      </c>
      <c r="S34" s="29">
        <v>3336056.3958769999</v>
      </c>
      <c r="T34" s="11" t="e">
        <f t="shared" si="5"/>
        <v>#DIV/0!</v>
      </c>
      <c r="U34" s="40" t="s">
        <v>16</v>
      </c>
      <c r="V34" s="29">
        <f>+S34</f>
        <v>3336056.3958769999</v>
      </c>
      <c r="W34" s="29"/>
      <c r="Z34" s="3" t="s">
        <v>18</v>
      </c>
      <c r="AB34" s="3" t="s">
        <v>18</v>
      </c>
    </row>
    <row r="35" spans="1:32" x14ac:dyDescent="0.25">
      <c r="A35" s="13">
        <v>25</v>
      </c>
      <c r="B35" s="41" t="s">
        <v>17</v>
      </c>
      <c r="C35" s="29">
        <f>D56</f>
        <v>3878829.3574087508</v>
      </c>
      <c r="D35" s="11">
        <f t="shared" si="3"/>
        <v>0.19600000000000001</v>
      </c>
      <c r="E35" s="40" t="s">
        <v>16</v>
      </c>
      <c r="F35" s="29">
        <f>+C35</f>
        <v>3878829.3574087508</v>
      </c>
      <c r="G35" s="29"/>
      <c r="I35" s="13">
        <v>25</v>
      </c>
      <c r="J35" s="41" t="s">
        <v>17</v>
      </c>
      <c r="K35" s="29">
        <f>L56</f>
        <v>3572472</v>
      </c>
      <c r="L35" s="11">
        <f t="shared" si="4"/>
        <v>0.17899999999999999</v>
      </c>
      <c r="M35" s="40" t="s">
        <v>16</v>
      </c>
      <c r="N35" s="29">
        <f>+K35</f>
        <v>3572472</v>
      </c>
      <c r="O35" s="29"/>
      <c r="P35" s="158"/>
      <c r="Q35" s="13">
        <v>25</v>
      </c>
      <c r="R35" s="41" t="s">
        <v>17</v>
      </c>
      <c r="S35" s="29">
        <f>T56</f>
        <v>0</v>
      </c>
      <c r="T35" s="11" t="e">
        <f t="shared" si="5"/>
        <v>#DIV/0!</v>
      </c>
      <c r="U35" s="40" t="s">
        <v>16</v>
      </c>
      <c r="V35" s="29">
        <f>+S35</f>
        <v>0</v>
      </c>
      <c r="W35" s="29"/>
      <c r="Z35" s="164" t="s">
        <v>120</v>
      </c>
      <c r="AA35" s="3"/>
      <c r="AB35" s="164" t="s">
        <v>119</v>
      </c>
    </row>
    <row r="36" spans="1:32" ht="15.75" thickBot="1" x14ac:dyDescent="0.3">
      <c r="A36" s="13">
        <v>27</v>
      </c>
      <c r="B36" s="39" t="s">
        <v>15</v>
      </c>
      <c r="C36" s="38">
        <f>SUM(C14:C35)</f>
        <v>1307293583.6739144</v>
      </c>
      <c r="D36" s="37">
        <f>SUM(D14:D35)</f>
        <v>66.025999999999996</v>
      </c>
      <c r="E36" s="36"/>
      <c r="F36" s="35">
        <f>SUM(F14:F35)</f>
        <v>386345832.10781699</v>
      </c>
      <c r="G36" s="35">
        <f>SUM(G14:G35)</f>
        <v>920947751.5660975</v>
      </c>
      <c r="H36" s="121">
        <f>SUM(F36:G36)-C36</f>
        <v>0</v>
      </c>
      <c r="I36" s="13">
        <v>27</v>
      </c>
      <c r="J36" s="39" t="s">
        <v>15</v>
      </c>
      <c r="K36" s="38">
        <f>SUM(K14:K35)</f>
        <v>1310371597.9108081</v>
      </c>
      <c r="L36" s="37">
        <f>SUM(L14:L35)</f>
        <v>65.547000000000011</v>
      </c>
      <c r="M36" s="36"/>
      <c r="N36" s="35">
        <f>SUM(N14:N35)</f>
        <v>380505859.47560662</v>
      </c>
      <c r="O36" s="35">
        <f>SUM(O14:O35)</f>
        <v>929865738.43520164</v>
      </c>
      <c r="P36" s="121"/>
      <c r="Q36" s="13">
        <v>27</v>
      </c>
      <c r="R36" s="39" t="s">
        <v>15</v>
      </c>
      <c r="S36" s="38" t="e">
        <f>SUM(S14:S35)</f>
        <v>#REF!</v>
      </c>
      <c r="T36" s="37" t="e">
        <f>SUM(T14:T35)</f>
        <v>#DIV/0!</v>
      </c>
      <c r="U36" s="36"/>
      <c r="V36" s="35" t="e">
        <f>SUM(V14:V35)</f>
        <v>#REF!</v>
      </c>
      <c r="W36" s="35">
        <f>SUM(W14:W35)</f>
        <v>836979254.43189263</v>
      </c>
      <c r="X36" s="121" t="e">
        <f>SUM(V36:W36)-S36</f>
        <v>#REF!</v>
      </c>
      <c r="Y36" s="121"/>
      <c r="Z36" s="121"/>
      <c r="AA36" s="121"/>
      <c r="AB36" s="121"/>
      <c r="AC36" s="121"/>
      <c r="AD36" s="121"/>
      <c r="AE36" s="121"/>
      <c r="AF36" s="121"/>
    </row>
    <row r="37" spans="1:32" x14ac:dyDescent="0.25">
      <c r="A37" s="13">
        <v>28</v>
      </c>
      <c r="B37" s="12" t="s">
        <v>14</v>
      </c>
      <c r="C37" s="34">
        <v>0.95234799999999997</v>
      </c>
      <c r="D37" s="31"/>
      <c r="E37" s="33"/>
      <c r="F37" s="32">
        <f>+C37</f>
        <v>0.95234799999999997</v>
      </c>
      <c r="G37" s="32">
        <f>+C37</f>
        <v>0.95234799999999997</v>
      </c>
      <c r="I37" s="13">
        <v>28</v>
      </c>
      <c r="J37" s="12" t="s">
        <v>14</v>
      </c>
      <c r="K37" s="34">
        <f>+C37</f>
        <v>0.95234799999999997</v>
      </c>
      <c r="L37" s="31"/>
      <c r="M37" s="33"/>
      <c r="N37" s="32">
        <f>+K37</f>
        <v>0.95234799999999997</v>
      </c>
      <c r="O37" s="32">
        <f>+K37</f>
        <v>0.95234799999999997</v>
      </c>
      <c r="Q37" s="13">
        <v>28</v>
      </c>
      <c r="R37" s="12" t="s">
        <v>14</v>
      </c>
      <c r="S37" s="34">
        <f>+K37</f>
        <v>0.95234799999999997</v>
      </c>
      <c r="T37" s="31"/>
      <c r="U37" s="33"/>
      <c r="V37" s="32">
        <f>+S37</f>
        <v>0.95234799999999997</v>
      </c>
      <c r="W37" s="32">
        <f>+S37</f>
        <v>0.95234799999999997</v>
      </c>
    </row>
    <row r="38" spans="1:32" x14ac:dyDescent="0.25">
      <c r="A38" s="13">
        <v>29</v>
      </c>
      <c r="B38" s="12" t="s">
        <v>13</v>
      </c>
      <c r="C38" s="30">
        <f>+C36/C37</f>
        <v>1372705758.4768536</v>
      </c>
      <c r="D38" s="31"/>
      <c r="E38" s="29"/>
      <c r="F38" s="30">
        <f>+F36/F37</f>
        <v>405677160.14294881</v>
      </c>
      <c r="G38" s="30">
        <f>+G36/G37</f>
        <v>967028598.33390474</v>
      </c>
      <c r="H38" s="121">
        <f>SUM(F38:G38)-C38</f>
        <v>0</v>
      </c>
      <c r="I38" s="13">
        <v>29</v>
      </c>
      <c r="J38" s="12" t="s">
        <v>13</v>
      </c>
      <c r="K38" s="30">
        <f>+K36/K37</f>
        <v>1375937785.2537184</v>
      </c>
      <c r="L38" s="31"/>
      <c r="M38" s="29"/>
      <c r="N38" s="30">
        <f>+N36/N37</f>
        <v>399544976.70558095</v>
      </c>
      <c r="O38" s="30">
        <f>+O36/O37</f>
        <v>976392808.54813755</v>
      </c>
      <c r="P38" s="121"/>
      <c r="Q38" s="13">
        <v>29</v>
      </c>
      <c r="R38" s="12" t="s">
        <v>13</v>
      </c>
      <c r="S38" s="30" t="e">
        <f>+S36/S37</f>
        <v>#REF!</v>
      </c>
      <c r="T38" s="31"/>
      <c r="U38" s="29"/>
      <c r="V38" s="30" t="e">
        <f>+V36/V37</f>
        <v>#REF!</v>
      </c>
      <c r="W38" s="30">
        <f>+W36/W37</f>
        <v>878858625.66193521</v>
      </c>
      <c r="X38" s="121" t="e">
        <f>SUM(V38:W38)-S38</f>
        <v>#REF!</v>
      </c>
      <c r="Y38" s="121"/>
      <c r="Z38" s="154">
        <f>F38</f>
        <v>405677160.14294881</v>
      </c>
      <c r="AA38" s="161" t="s">
        <v>118</v>
      </c>
      <c r="AB38" s="154">
        <f>Z42</f>
        <v>399544976.70558095</v>
      </c>
      <c r="AC38" s="161" t="s">
        <v>114</v>
      </c>
      <c r="AD38" s="121"/>
      <c r="AE38" s="121"/>
      <c r="AF38" s="121"/>
    </row>
    <row r="39" spans="1:32" x14ac:dyDescent="0.25">
      <c r="A39" s="13">
        <v>30</v>
      </c>
      <c r="B39" s="12" t="s">
        <v>12</v>
      </c>
      <c r="C39" s="29">
        <v>19799680.8675</v>
      </c>
      <c r="D39" s="29"/>
      <c r="E39" s="29"/>
      <c r="F39" s="28"/>
      <c r="G39" s="27"/>
      <c r="I39" s="13">
        <v>30</v>
      </c>
      <c r="J39" s="12" t="s">
        <v>12</v>
      </c>
      <c r="K39" s="29">
        <v>19991410.8475</v>
      </c>
      <c r="L39" s="29"/>
      <c r="M39" s="29"/>
      <c r="N39" s="28"/>
      <c r="O39" s="27"/>
      <c r="Q39" s="13">
        <v>30</v>
      </c>
      <c r="R39" s="12" t="s">
        <v>12</v>
      </c>
      <c r="S39" s="29">
        <v>0</v>
      </c>
      <c r="T39" s="29"/>
      <c r="U39" s="29"/>
      <c r="V39" s="28">
        <v>0</v>
      </c>
      <c r="W39" s="27"/>
      <c r="Z39" s="159">
        <f>C39</f>
        <v>19799680.8675</v>
      </c>
      <c r="AA39" s="1" t="s">
        <v>117</v>
      </c>
      <c r="AB39" s="159">
        <f>Z43</f>
        <v>19991410.8475</v>
      </c>
      <c r="AC39" s="1" t="s">
        <v>112</v>
      </c>
    </row>
    <row r="40" spans="1:32" x14ac:dyDescent="0.25">
      <c r="A40" s="13">
        <v>31</v>
      </c>
      <c r="B40" s="19"/>
      <c r="C40" s="24" t="s">
        <v>11</v>
      </c>
      <c r="D40" s="26"/>
      <c r="E40" s="25"/>
      <c r="F40"/>
      <c r="G40"/>
      <c r="I40" s="13">
        <v>31</v>
      </c>
      <c r="J40" s="19"/>
      <c r="K40" s="24" t="s">
        <v>11</v>
      </c>
      <c r="L40" s="26"/>
      <c r="M40" s="25"/>
      <c r="N40"/>
      <c r="O40"/>
      <c r="Q40" s="13">
        <v>31</v>
      </c>
      <c r="R40" s="19"/>
      <c r="S40" s="24" t="s">
        <v>11</v>
      </c>
      <c r="T40" s="26"/>
      <c r="U40" s="25"/>
      <c r="V40" s="24" t="s">
        <v>116</v>
      </c>
      <c r="W40" s="163"/>
      <c r="Z40" s="155">
        <f>ROUND(Z38/Z39,3)</f>
        <v>20.489000000000001</v>
      </c>
      <c r="AA40" s="1" t="s">
        <v>115</v>
      </c>
      <c r="AB40" s="155">
        <f>ROUND(AB38/AB39,3)</f>
        <v>19.986000000000001</v>
      </c>
      <c r="AC40" s="1" t="s">
        <v>110</v>
      </c>
    </row>
    <row r="41" spans="1:32" x14ac:dyDescent="0.25">
      <c r="A41" s="13">
        <v>32</v>
      </c>
      <c r="B41" s="19"/>
      <c r="C41" s="23" t="s">
        <v>10</v>
      </c>
      <c r="D41" s="22" t="s">
        <v>9</v>
      </c>
      <c r="E41" s="16"/>
      <c r="F41"/>
      <c r="G41"/>
      <c r="I41" s="13">
        <v>32</v>
      </c>
      <c r="J41" s="19"/>
      <c r="K41" s="23" t="s">
        <v>10</v>
      </c>
      <c r="L41" s="22" t="s">
        <v>9</v>
      </c>
      <c r="M41" s="16"/>
      <c r="N41"/>
      <c r="O41"/>
      <c r="Q41" s="19">
        <v>32</v>
      </c>
      <c r="R41" s="16"/>
      <c r="S41" s="23" t="s">
        <v>10</v>
      </c>
      <c r="T41" s="22" t="s">
        <v>9</v>
      </c>
      <c r="U41" s="16"/>
      <c r="V41" s="23" t="s">
        <v>10</v>
      </c>
      <c r="W41" s="22" t="s">
        <v>9</v>
      </c>
    </row>
    <row r="42" spans="1:32" x14ac:dyDescent="0.25">
      <c r="A42" s="13">
        <v>33</v>
      </c>
      <c r="B42" s="19"/>
      <c r="C42" s="21" t="s">
        <v>8</v>
      </c>
      <c r="D42" s="20" t="s">
        <v>8</v>
      </c>
      <c r="E42" s="16"/>
      <c r="F42"/>
      <c r="G42"/>
      <c r="I42" s="13">
        <v>33</v>
      </c>
      <c r="J42" s="19"/>
      <c r="K42" s="21" t="s">
        <v>8</v>
      </c>
      <c r="L42" s="20" t="s">
        <v>8</v>
      </c>
      <c r="M42" s="16"/>
      <c r="N42"/>
      <c r="O42"/>
      <c r="Q42" s="19">
        <v>33</v>
      </c>
      <c r="R42" s="162"/>
      <c r="S42" s="21" t="s">
        <v>8</v>
      </c>
      <c r="T42" s="20" t="s">
        <v>8</v>
      </c>
      <c r="U42" s="16"/>
      <c r="V42" s="21" t="s">
        <v>8</v>
      </c>
      <c r="W42" s="20" t="s">
        <v>8</v>
      </c>
      <c r="Z42" s="154">
        <f>N38</f>
        <v>399544976.70558095</v>
      </c>
      <c r="AA42" s="161" t="s">
        <v>114</v>
      </c>
      <c r="AB42" s="154" t="e">
        <f>V38</f>
        <v>#REF!</v>
      </c>
      <c r="AC42" s="161" t="s">
        <v>113</v>
      </c>
    </row>
    <row r="43" spans="1:32" x14ac:dyDescent="0.25">
      <c r="A43" s="13">
        <v>34</v>
      </c>
      <c r="B43" s="19"/>
      <c r="C43" s="18" t="s">
        <v>7</v>
      </c>
      <c r="D43" s="17"/>
      <c r="E43" s="16"/>
      <c r="F43"/>
      <c r="G43"/>
      <c r="I43" s="13">
        <v>34</v>
      </c>
      <c r="J43" s="19"/>
      <c r="K43" s="18" t="s">
        <v>7</v>
      </c>
      <c r="L43" s="17"/>
      <c r="M43" s="16"/>
      <c r="N43"/>
      <c r="O43"/>
      <c r="Q43" s="19">
        <v>34</v>
      </c>
      <c r="R43" s="160"/>
      <c r="S43" s="18" t="s">
        <v>7</v>
      </c>
      <c r="T43" s="17"/>
      <c r="U43" s="16"/>
      <c r="V43" s="18" t="s">
        <v>7</v>
      </c>
      <c r="W43" s="17"/>
      <c r="Z43" s="159">
        <f>K39</f>
        <v>19991410.8475</v>
      </c>
      <c r="AA43" s="1" t="s">
        <v>112</v>
      </c>
      <c r="AB43" s="158">
        <f>S39</f>
        <v>0</v>
      </c>
      <c r="AC43" s="1" t="s">
        <v>111</v>
      </c>
    </row>
    <row r="44" spans="1:32" x14ac:dyDescent="0.25">
      <c r="A44" s="13">
        <v>35</v>
      </c>
      <c r="B44" s="12" t="s">
        <v>4</v>
      </c>
      <c r="C44" s="9">
        <f>D36</f>
        <v>66.025999999999996</v>
      </c>
      <c r="D44" s="8">
        <f>C44/C$37</f>
        <v>69.329698807578737</v>
      </c>
      <c r="E44" s="16"/>
      <c r="F44"/>
      <c r="G44"/>
      <c r="I44" s="13">
        <v>35</v>
      </c>
      <c r="J44" s="12" t="s">
        <v>4</v>
      </c>
      <c r="K44" s="9">
        <f>L36</f>
        <v>65.547000000000011</v>
      </c>
      <c r="L44" s="8">
        <f>K44/K$37</f>
        <v>68.826731404906624</v>
      </c>
      <c r="M44" s="16"/>
      <c r="N44"/>
      <c r="O44"/>
      <c r="Q44" s="12">
        <v>35</v>
      </c>
      <c r="R44" s="11" t="s">
        <v>4</v>
      </c>
      <c r="S44" s="9" t="e">
        <f>T36</f>
        <v>#DIV/0!</v>
      </c>
      <c r="T44" s="8" t="e">
        <f>S44/S$37</f>
        <v>#DIV/0!</v>
      </c>
      <c r="U44" s="16"/>
      <c r="V44" s="9" t="e">
        <f>+S36/V39</f>
        <v>#REF!</v>
      </c>
      <c r="W44" s="8" t="e">
        <f>+S38/V39</f>
        <v>#REF!</v>
      </c>
      <c r="Z44" s="155">
        <f>ROUND(Z42/Z43,3)</f>
        <v>19.986000000000001</v>
      </c>
      <c r="AA44" s="1" t="s">
        <v>110</v>
      </c>
      <c r="AB44" s="155" t="e">
        <f>ROUND(AB42/AB43,3)</f>
        <v>#REF!</v>
      </c>
      <c r="AC44" s="1" t="s">
        <v>109</v>
      </c>
    </row>
    <row r="45" spans="1:32" x14ac:dyDescent="0.25">
      <c r="A45" s="13">
        <v>36</v>
      </c>
      <c r="B45" s="12" t="s">
        <v>6</v>
      </c>
      <c r="C45" s="9">
        <f>ROUND(SUM(D14,D16:D17,D20:D22,D24,D28:D29,D32:D35),3)</f>
        <v>19.512</v>
      </c>
      <c r="D45" s="8">
        <f>ROUND(C45/C$37,3)</f>
        <v>20.488</v>
      </c>
      <c r="E45" s="16"/>
      <c r="F45"/>
      <c r="G45"/>
      <c r="I45" s="13">
        <v>36</v>
      </c>
      <c r="J45" s="12" t="s">
        <v>6</v>
      </c>
      <c r="K45" s="9">
        <f>ROUND(SUM(L14,L16:L17,L20:L22,L24,L28:L29,L32:L35),3)</f>
        <v>19.033999999999999</v>
      </c>
      <c r="L45" s="8">
        <f>ROUND(K45/K$37,3)</f>
        <v>19.986000000000001</v>
      </c>
      <c r="M45" s="16"/>
      <c r="N45"/>
      <c r="O45"/>
      <c r="Q45" s="12">
        <v>36</v>
      </c>
      <c r="R45" s="11" t="s">
        <v>6</v>
      </c>
      <c r="S45" s="9" t="e">
        <f>ROUND(SUM(T14,T16:T17,T20:T22,T24,T28:T29,T32:T35),3)</f>
        <v>#DIV/0!</v>
      </c>
      <c r="T45" s="8" t="e">
        <f>ROUND(S45/S$37,3)</f>
        <v>#DIV/0!</v>
      </c>
      <c r="U45" s="16"/>
      <c r="V45" s="9" t="e">
        <f>+V36/V39</f>
        <v>#REF!</v>
      </c>
      <c r="W45" s="8" t="e">
        <f>+V38/V39</f>
        <v>#REF!</v>
      </c>
    </row>
    <row r="46" spans="1:32" x14ac:dyDescent="0.25">
      <c r="A46" s="13">
        <v>37</v>
      </c>
      <c r="B46" s="12" t="s">
        <v>5</v>
      </c>
      <c r="C46" s="157">
        <f>ROUND(SUM(D15,D18:D19,D23,D25:D27,D30:D31),3)</f>
        <v>46.514000000000003</v>
      </c>
      <c r="D46" s="14">
        <f>ROUND(C46/C$37,3)</f>
        <v>48.841000000000001</v>
      </c>
      <c r="E46" s="10"/>
      <c r="F46"/>
      <c r="G46"/>
      <c r="I46" s="13">
        <v>37</v>
      </c>
      <c r="J46" s="12" t="s">
        <v>5</v>
      </c>
      <c r="K46" s="157">
        <f>ROUND(SUM(L15,L18:L19,L23,L25:L27,L30:L31),3)</f>
        <v>46.512999999999998</v>
      </c>
      <c r="L46" s="14">
        <f>ROUND(K46/K$37,3)</f>
        <v>48.84</v>
      </c>
      <c r="M46" s="10"/>
      <c r="N46"/>
      <c r="O46"/>
      <c r="Q46" s="12">
        <v>37</v>
      </c>
      <c r="R46" s="156" t="s">
        <v>5</v>
      </c>
      <c r="S46" s="15" t="e">
        <f>ROUND(SUM(T15,T18:T19,T23,T25:T27,T30:T31),3)</f>
        <v>#DIV/0!</v>
      </c>
      <c r="T46" s="14" t="e">
        <f>ROUND(S46/S$37,3)</f>
        <v>#DIV/0!</v>
      </c>
      <c r="U46" s="10"/>
      <c r="V46" s="15" t="e">
        <f>+W36/V39</f>
        <v>#DIV/0!</v>
      </c>
      <c r="W46" s="14" t="e">
        <f>+W38/V39</f>
        <v>#DIV/0!</v>
      </c>
      <c r="Z46" s="155">
        <f>(Z44-Z40)</f>
        <v>-0.50300000000000011</v>
      </c>
      <c r="AA46" s="1" t="s">
        <v>108</v>
      </c>
      <c r="AB46" s="155" t="e">
        <f>(AB44-AB40)</f>
        <v>#REF!</v>
      </c>
      <c r="AC46" s="1" t="s">
        <v>108</v>
      </c>
    </row>
    <row r="47" spans="1:32" x14ac:dyDescent="0.25">
      <c r="A47" s="13">
        <v>38</v>
      </c>
      <c r="B47" s="12" t="s">
        <v>4</v>
      </c>
      <c r="C47" s="9">
        <f>SUM(C45:C46)</f>
        <v>66.02600000000001</v>
      </c>
      <c r="D47" s="8">
        <f>SUM(D45:D46)</f>
        <v>69.329000000000008</v>
      </c>
      <c r="E47" s="10"/>
      <c r="F47"/>
      <c r="G47"/>
      <c r="I47" s="13">
        <v>38</v>
      </c>
      <c r="J47" s="12" t="s">
        <v>4</v>
      </c>
      <c r="K47" s="9">
        <f>SUM(K45:K46)</f>
        <v>65.546999999999997</v>
      </c>
      <c r="L47" s="8">
        <f>SUM(L45:L46)</f>
        <v>68.826000000000008</v>
      </c>
      <c r="M47" s="10"/>
      <c r="N47"/>
      <c r="O47"/>
      <c r="Q47" s="12">
        <v>38</v>
      </c>
      <c r="R47" s="11" t="s">
        <v>4</v>
      </c>
      <c r="S47" s="9" t="e">
        <f>SUM(S45:S46)</f>
        <v>#DIV/0!</v>
      </c>
      <c r="T47" s="8" t="e">
        <f>SUM(T45:T46)</f>
        <v>#DIV/0!</v>
      </c>
      <c r="U47" s="10"/>
      <c r="V47" s="9" t="e">
        <f>SUM(V45:V46)</f>
        <v>#REF!</v>
      </c>
      <c r="W47" s="8" t="e">
        <f>SUM(W45:W46)</f>
        <v>#REF!</v>
      </c>
      <c r="Z47" s="154">
        <f>Z46*K39</f>
        <v>-10055679.656292502</v>
      </c>
      <c r="AA47" s="1" t="s">
        <v>107</v>
      </c>
      <c r="AB47" s="154" t="e">
        <f>AB46*S39</f>
        <v>#REF!</v>
      </c>
      <c r="AC47" s="1" t="s">
        <v>107</v>
      </c>
    </row>
    <row r="48" spans="1:32" x14ac:dyDescent="0.25">
      <c r="A48" s="3"/>
      <c r="B48" s="7"/>
      <c r="C48" s="125">
        <f>+C47-C44</f>
        <v>0</v>
      </c>
      <c r="D48" s="124">
        <f>+D47-D44</f>
        <v>-6.9880757872908816E-4</v>
      </c>
      <c r="E48" s="6" t="s">
        <v>3</v>
      </c>
      <c r="F48"/>
      <c r="G48"/>
      <c r="I48" s="3"/>
      <c r="J48" s="7"/>
      <c r="K48" s="125">
        <f>+K47-K44</f>
        <v>0</v>
      </c>
      <c r="L48" s="124">
        <f>+L47-L44</f>
        <v>-7.314049066167172E-4</v>
      </c>
      <c r="M48" s="6" t="s">
        <v>3</v>
      </c>
      <c r="N48"/>
      <c r="O48"/>
      <c r="Q48" s="3"/>
      <c r="R48" s="7"/>
      <c r="S48" s="125" t="e">
        <f>+S47-S44</f>
        <v>#DIV/0!</v>
      </c>
      <c r="T48" s="124" t="e">
        <f>+T47-T44</f>
        <v>#DIV/0!</v>
      </c>
      <c r="U48" s="6" t="s">
        <v>106</v>
      </c>
      <c r="V48" s="125" t="e">
        <f>+V47-V44</f>
        <v>#REF!</v>
      </c>
      <c r="W48" s="124" t="e">
        <f>+W47-W44</f>
        <v>#REF!</v>
      </c>
      <c r="Z48" s="154">
        <f>N38-F38</f>
        <v>-6132183.4373678565</v>
      </c>
      <c r="AA48" s="1" t="s">
        <v>105</v>
      </c>
      <c r="AB48" s="154" t="e">
        <f>V38-N38</f>
        <v>#REF!</v>
      </c>
      <c r="AC48" s="1" t="s">
        <v>105</v>
      </c>
    </row>
    <row r="49" spans="1:23" x14ac:dyDescent="0.25">
      <c r="A49" s="3"/>
      <c r="B49" s="5"/>
      <c r="E49" s="4"/>
      <c r="F49" s="4"/>
      <c r="G49" s="4"/>
      <c r="I49" s="3"/>
      <c r="J49" s="5"/>
      <c r="L49" s="153"/>
      <c r="M49" s="4"/>
      <c r="N49" s="4"/>
      <c r="O49" s="4"/>
      <c r="Q49" s="3"/>
      <c r="R49" s="5"/>
      <c r="T49" s="153"/>
      <c r="U49" s="4"/>
      <c r="V49" s="4"/>
      <c r="W49" s="4"/>
    </row>
    <row r="50" spans="1:23" x14ac:dyDescent="0.25">
      <c r="A50" s="3"/>
      <c r="E50" s="4"/>
      <c r="F50" s="4"/>
      <c r="G50" s="4"/>
      <c r="I50" s="3"/>
      <c r="J50" s="1" t="s">
        <v>2</v>
      </c>
      <c r="K50" s="152"/>
      <c r="L50" s="151"/>
      <c r="M50" s="4"/>
      <c r="N50" s="4"/>
      <c r="O50" s="4"/>
      <c r="Q50" s="3"/>
      <c r="U50" s="4"/>
      <c r="V50" s="4"/>
      <c r="W50" s="4"/>
    </row>
    <row r="51" spans="1:23" ht="15.75" thickBot="1" x14ac:dyDescent="0.3">
      <c r="A51" s="3"/>
      <c r="B51" s="120"/>
      <c r="C51" s="119"/>
      <c r="D51" s="112" t="s">
        <v>90</v>
      </c>
      <c r="E51" s="4"/>
      <c r="F51" s="4"/>
      <c r="G51" s="4"/>
      <c r="I51" s="3"/>
      <c r="J51" s="120"/>
      <c r="K51" s="119"/>
      <c r="L51" s="112" t="s">
        <v>90</v>
      </c>
      <c r="M51" s="4"/>
      <c r="N51" s="4"/>
      <c r="O51" s="4"/>
      <c r="Q51" s="3"/>
      <c r="R51" s="120"/>
      <c r="S51" s="119"/>
      <c r="T51" s="112" t="s">
        <v>90</v>
      </c>
      <c r="U51" s="4"/>
      <c r="V51" s="4"/>
      <c r="W51" s="4"/>
    </row>
    <row r="52" spans="1:23" x14ac:dyDescent="0.25">
      <c r="A52" s="3"/>
      <c r="B52" s="118" t="s">
        <v>89</v>
      </c>
      <c r="C52" s="117" t="s">
        <v>88</v>
      </c>
      <c r="D52" s="116"/>
      <c r="E52" s="4"/>
      <c r="F52" s="4"/>
      <c r="G52" s="4"/>
      <c r="I52" s="3"/>
      <c r="J52" s="118" t="s">
        <v>89</v>
      </c>
      <c r="K52" s="117" t="s">
        <v>88</v>
      </c>
      <c r="L52" s="116"/>
      <c r="M52" s="4"/>
      <c r="N52" s="4"/>
      <c r="O52" s="4"/>
      <c r="Q52" s="3"/>
      <c r="R52" s="118" t="s">
        <v>89</v>
      </c>
      <c r="S52" s="117" t="s">
        <v>88</v>
      </c>
      <c r="T52" s="116"/>
      <c r="U52" s="4"/>
      <c r="V52" s="4"/>
      <c r="W52" s="4"/>
    </row>
    <row r="53" spans="1:23" x14ac:dyDescent="0.25">
      <c r="A53" s="3"/>
      <c r="B53" s="115" t="s">
        <v>87</v>
      </c>
      <c r="C53" s="114">
        <v>407.3</v>
      </c>
      <c r="D53" s="113">
        <v>306357.35740875098</v>
      </c>
      <c r="E53" s="4"/>
      <c r="F53" s="4"/>
      <c r="G53" s="4"/>
      <c r="I53" s="3"/>
      <c r="J53" s="115" t="s">
        <v>87</v>
      </c>
      <c r="K53" s="114">
        <v>407.3</v>
      </c>
      <c r="L53" s="113">
        <v>0</v>
      </c>
      <c r="M53" s="4"/>
      <c r="N53" s="4"/>
      <c r="O53" s="4"/>
      <c r="Q53" s="3"/>
      <c r="R53" s="115" t="s">
        <v>87</v>
      </c>
      <c r="S53" s="114">
        <v>407.3</v>
      </c>
      <c r="T53" s="113">
        <v>0</v>
      </c>
      <c r="U53" s="4"/>
      <c r="V53" s="4"/>
      <c r="W53" s="4"/>
    </row>
    <row r="54" spans="1:23" x14ac:dyDescent="0.25">
      <c r="A54" s="3"/>
      <c r="B54" s="110" t="s">
        <v>86</v>
      </c>
      <c r="C54" s="112">
        <v>407.3</v>
      </c>
      <c r="D54" s="111">
        <v>687420</v>
      </c>
      <c r="E54" s="4"/>
      <c r="F54" s="4"/>
      <c r="G54" s="4"/>
      <c r="I54" s="3"/>
      <c r="J54" s="110" t="s">
        <v>86</v>
      </c>
      <c r="K54" s="112">
        <v>407.3</v>
      </c>
      <c r="L54" s="111">
        <v>687420</v>
      </c>
      <c r="M54" s="4"/>
      <c r="N54" s="4"/>
      <c r="O54" s="4"/>
      <c r="Q54" s="3"/>
      <c r="R54" s="110" t="s">
        <v>86</v>
      </c>
      <c r="S54" s="112">
        <v>407.3</v>
      </c>
      <c r="T54" s="111">
        <v>0</v>
      </c>
      <c r="U54" s="4"/>
      <c r="V54" s="4"/>
      <c r="W54" s="4"/>
    </row>
    <row r="55" spans="1:23" x14ac:dyDescent="0.25">
      <c r="A55" s="3"/>
      <c r="B55" s="110" t="s">
        <v>85</v>
      </c>
      <c r="C55" s="112">
        <v>407.3</v>
      </c>
      <c r="D55" s="111">
        <v>2885052</v>
      </c>
      <c r="E55" s="4"/>
      <c r="F55" s="4"/>
      <c r="G55" s="4"/>
      <c r="I55" s="3"/>
      <c r="J55" s="110" t="s">
        <v>85</v>
      </c>
      <c r="K55" s="112">
        <v>407.3</v>
      </c>
      <c r="L55" s="111">
        <v>2885052</v>
      </c>
      <c r="M55" s="4"/>
      <c r="N55" s="4"/>
      <c r="O55" s="4"/>
      <c r="Q55" s="3"/>
      <c r="R55" s="110" t="s">
        <v>85</v>
      </c>
      <c r="S55" s="112">
        <v>407.3</v>
      </c>
      <c r="T55" s="111">
        <v>0</v>
      </c>
      <c r="U55" s="4"/>
      <c r="V55" s="4"/>
      <c r="W55" s="4"/>
    </row>
    <row r="56" spans="1:23" ht="15.75" thickBot="1" x14ac:dyDescent="0.3">
      <c r="A56" s="3"/>
      <c r="B56" s="110" t="s">
        <v>84</v>
      </c>
      <c r="C56" s="109"/>
      <c r="D56" s="108">
        <f>SUM(D53:D55)</f>
        <v>3878829.3574087508</v>
      </c>
      <c r="E56" s="4"/>
      <c r="F56" s="4"/>
      <c r="G56" s="4"/>
      <c r="I56" s="3"/>
      <c r="J56" s="110" t="s">
        <v>84</v>
      </c>
      <c r="K56" s="109"/>
      <c r="L56" s="108">
        <f>SUM(L53:L55)</f>
        <v>3572472</v>
      </c>
      <c r="M56" s="4"/>
      <c r="N56" s="4"/>
      <c r="O56" s="4"/>
      <c r="Q56" s="3"/>
      <c r="R56" s="110" t="s">
        <v>84</v>
      </c>
      <c r="S56" s="109"/>
      <c r="T56" s="108">
        <f>SUM(T53:T55)</f>
        <v>0</v>
      </c>
      <c r="U56" s="4"/>
      <c r="V56" s="4"/>
      <c r="W56" s="4"/>
    </row>
    <row r="57" spans="1:23" ht="16.5" thickTop="1" thickBot="1" x14ac:dyDescent="0.3">
      <c r="A57" s="3"/>
      <c r="B57" s="107"/>
      <c r="C57" s="106" t="s">
        <v>83</v>
      </c>
      <c r="D57" s="123">
        <f>+C35-D56</f>
        <v>0</v>
      </c>
      <c r="E57" s="4"/>
      <c r="F57" s="4"/>
      <c r="G57" s="4"/>
      <c r="I57" s="3"/>
      <c r="J57" s="107"/>
      <c r="K57" s="106" t="s">
        <v>83</v>
      </c>
      <c r="L57" s="123">
        <f>+K35-L56</f>
        <v>0</v>
      </c>
      <c r="M57" s="4"/>
      <c r="N57" s="4"/>
      <c r="O57" s="4"/>
      <c r="Q57" s="3"/>
      <c r="R57" s="107"/>
      <c r="S57" s="106" t="s">
        <v>83</v>
      </c>
      <c r="T57" s="123">
        <f>+S35-T56</f>
        <v>0</v>
      </c>
      <c r="U57" s="4"/>
      <c r="V57" s="4"/>
      <c r="W57" s="4"/>
    </row>
    <row r="58" spans="1:23" x14ac:dyDescent="0.25">
      <c r="A58" s="3"/>
      <c r="E58" s="4"/>
      <c r="F58" s="4"/>
      <c r="G58" s="4"/>
      <c r="I58" s="3"/>
      <c r="M58" s="4"/>
      <c r="N58" s="4"/>
      <c r="O58" s="4"/>
      <c r="Q58" s="3"/>
      <c r="U58" s="4"/>
      <c r="V58" s="4"/>
      <c r="W58" s="4"/>
    </row>
    <row r="59" spans="1:23" ht="15.75" thickBot="1" x14ac:dyDescent="0.3">
      <c r="A59" s="3"/>
      <c r="B59" s="4"/>
      <c r="C59" s="4"/>
      <c r="D59" s="4"/>
    </row>
    <row r="60" spans="1:23" x14ac:dyDescent="0.25">
      <c r="A60" s="3"/>
      <c r="B60" s="150" t="s">
        <v>104</v>
      </c>
      <c r="C60" s="149"/>
      <c r="D60" s="149"/>
      <c r="E60" s="148"/>
      <c r="J60" s="150" t="s">
        <v>104</v>
      </c>
      <c r="K60" s="149"/>
      <c r="L60" s="149"/>
      <c r="M60" s="148"/>
      <c r="R60" s="150" t="s">
        <v>104</v>
      </c>
      <c r="S60" s="149"/>
      <c r="T60" s="149"/>
      <c r="U60" s="148"/>
    </row>
    <row r="61" spans="1:23" x14ac:dyDescent="0.25">
      <c r="A61" s="3"/>
      <c r="B61" s="147"/>
      <c r="C61" s="146" t="s">
        <v>103</v>
      </c>
      <c r="D61" s="146" t="s">
        <v>102</v>
      </c>
      <c r="E61" s="130"/>
      <c r="J61" s="147"/>
      <c r="K61" s="146" t="s">
        <v>103</v>
      </c>
      <c r="L61" s="146" t="s">
        <v>102</v>
      </c>
      <c r="M61" s="130"/>
      <c r="R61" s="147"/>
      <c r="S61" s="146" t="s">
        <v>103</v>
      </c>
      <c r="T61" s="146" t="s">
        <v>102</v>
      </c>
      <c r="U61" s="130"/>
    </row>
    <row r="62" spans="1:23" x14ac:dyDescent="0.25">
      <c r="A62" s="3"/>
      <c r="B62" s="147"/>
      <c r="C62" s="146"/>
      <c r="D62" s="146"/>
      <c r="E62" s="130"/>
      <c r="J62" s="147"/>
      <c r="K62" s="146"/>
      <c r="L62" s="146"/>
      <c r="M62" s="130"/>
      <c r="R62" s="147"/>
      <c r="S62" s="146"/>
      <c r="T62" s="146"/>
      <c r="U62" s="130"/>
    </row>
    <row r="63" spans="1:23" x14ac:dyDescent="0.25">
      <c r="A63" s="3"/>
      <c r="B63" s="145" t="s">
        <v>101</v>
      </c>
      <c r="C63" s="139">
        <f>+C15</f>
        <v>4094424.0000000005</v>
      </c>
      <c r="D63" s="139"/>
      <c r="E63" s="130"/>
      <c r="J63" s="145" t="s">
        <v>101</v>
      </c>
      <c r="K63" s="139">
        <f>+K15</f>
        <v>4105641.6000000006</v>
      </c>
      <c r="L63" s="139"/>
      <c r="M63" s="130"/>
      <c r="R63" s="145" t="s">
        <v>101</v>
      </c>
      <c r="S63" s="139">
        <f>+S15</f>
        <v>3232440</v>
      </c>
      <c r="T63" s="139"/>
      <c r="U63" s="130"/>
    </row>
    <row r="64" spans="1:23" x14ac:dyDescent="0.25">
      <c r="A64" s="3"/>
      <c r="B64" s="140" t="s">
        <v>100</v>
      </c>
      <c r="C64" s="139">
        <f>+C19</f>
        <v>827603384.29048145</v>
      </c>
      <c r="D64" s="139"/>
      <c r="E64" s="130"/>
      <c r="J64" s="140" t="s">
        <v>100</v>
      </c>
      <c r="K64" s="139">
        <f>+K19</f>
        <v>836497640.43728137</v>
      </c>
      <c r="L64" s="139"/>
      <c r="M64" s="130"/>
      <c r="R64" s="140" t="s">
        <v>100</v>
      </c>
      <c r="S64" s="139">
        <f>+S19</f>
        <v>578899870.43616784</v>
      </c>
      <c r="T64" s="139"/>
      <c r="U64" s="130"/>
    </row>
    <row r="65" spans="1:23" x14ac:dyDescent="0.25">
      <c r="A65" s="3"/>
      <c r="B65" s="140" t="s">
        <v>99</v>
      </c>
      <c r="C65" s="139">
        <f>+C20</f>
        <v>13689650.642035643</v>
      </c>
      <c r="D65" s="139"/>
      <c r="E65" s="130"/>
      <c r="J65" s="140" t="s">
        <v>99</v>
      </c>
      <c r="K65" s="139">
        <f>+K20</f>
        <v>14134394.659065126</v>
      </c>
      <c r="L65" s="139"/>
      <c r="M65" s="130"/>
      <c r="R65" s="140" t="s">
        <v>99</v>
      </c>
      <c r="S65" s="139">
        <f>+S20</f>
        <v>14502718.458247431</v>
      </c>
      <c r="T65" s="139"/>
      <c r="U65" s="130"/>
    </row>
    <row r="66" spans="1:23" x14ac:dyDescent="0.25">
      <c r="A66" s="3"/>
      <c r="B66" s="144" t="s">
        <v>98</v>
      </c>
      <c r="C66" s="139">
        <f>+C25</f>
        <v>521380.09600000002</v>
      </c>
      <c r="D66" s="139"/>
      <c r="E66" s="130" t="s">
        <v>93</v>
      </c>
      <c r="J66" s="144" t="s">
        <v>98</v>
      </c>
      <c r="K66" s="139">
        <f>+K25</f>
        <v>533893.21830399998</v>
      </c>
      <c r="L66" s="139"/>
      <c r="M66" s="130" t="s">
        <v>93</v>
      </c>
      <c r="R66" s="144" t="s">
        <v>98</v>
      </c>
      <c r="S66" s="139">
        <f>+S25</f>
        <v>546706.65554329602</v>
      </c>
      <c r="T66" s="139"/>
      <c r="U66" s="130" t="s">
        <v>93</v>
      </c>
    </row>
    <row r="67" spans="1:23" x14ac:dyDescent="0.25">
      <c r="A67" s="3"/>
      <c r="B67" s="132" t="s">
        <v>97</v>
      </c>
      <c r="C67" s="143">
        <f>SUM(C63:C66)</f>
        <v>845908839.02851701</v>
      </c>
      <c r="D67" s="142">
        <v>845908839.02851701</v>
      </c>
      <c r="E67" s="135">
        <f>+C67-D67</f>
        <v>0</v>
      </c>
      <c r="J67" s="132" t="s">
        <v>97</v>
      </c>
      <c r="K67" s="143">
        <f>SUM(K63:K66)</f>
        <v>855271569.91465056</v>
      </c>
      <c r="L67" s="142">
        <v>855271569.91465044</v>
      </c>
      <c r="M67" s="135">
        <f>+K67-L67</f>
        <v>0</v>
      </c>
      <c r="R67" s="132" t="s">
        <v>97</v>
      </c>
      <c r="S67" s="143">
        <f>SUM(S63:S66)</f>
        <v>597181735.54995859</v>
      </c>
      <c r="T67" s="142" t="e">
        <v>#REF!</v>
      </c>
      <c r="U67" s="135" t="e">
        <f>+S67-T67</f>
        <v>#REF!</v>
      </c>
    </row>
    <row r="68" spans="1:23" x14ac:dyDescent="0.25">
      <c r="A68" s="3"/>
      <c r="B68" s="132"/>
      <c r="C68" s="139"/>
      <c r="D68" s="138"/>
      <c r="E68" s="141"/>
      <c r="J68" s="132"/>
      <c r="K68" s="139"/>
      <c r="L68" s="138"/>
      <c r="M68" s="141"/>
      <c r="R68" s="132"/>
      <c r="S68" s="139"/>
      <c r="T68" s="138"/>
      <c r="U68" s="141"/>
    </row>
    <row r="69" spans="1:23" x14ac:dyDescent="0.25">
      <c r="A69" s="3"/>
      <c r="B69" s="140" t="s">
        <v>96</v>
      </c>
      <c r="C69" s="139">
        <f>+C18</f>
        <v>65690561.13598755</v>
      </c>
      <c r="D69" s="138"/>
      <c r="E69" s="141"/>
      <c r="J69" s="140" t="s">
        <v>96</v>
      </c>
      <c r="K69" s="139">
        <f>+K18</f>
        <v>65690561.13598755</v>
      </c>
      <c r="L69" s="138"/>
      <c r="M69" s="141"/>
      <c r="R69" s="140" t="s">
        <v>96</v>
      </c>
      <c r="S69" s="139">
        <f>+S18</f>
        <v>44102798.880000003</v>
      </c>
      <c r="T69" s="138"/>
      <c r="U69" s="141"/>
    </row>
    <row r="70" spans="1:23" x14ac:dyDescent="0.25">
      <c r="A70" s="3"/>
      <c r="B70" s="140" t="s">
        <v>95</v>
      </c>
      <c r="C70" s="139">
        <f>+C26</f>
        <v>500342454.47306603</v>
      </c>
      <c r="D70" s="138"/>
      <c r="E70" s="141"/>
      <c r="J70" s="140" t="s">
        <v>95</v>
      </c>
      <c r="K70" s="139">
        <f>+K26</f>
        <v>500342454.47306603</v>
      </c>
      <c r="L70" s="138"/>
      <c r="M70" s="141"/>
      <c r="R70" s="140" t="s">
        <v>95</v>
      </c>
      <c r="S70" s="139">
        <f>+S26</f>
        <v>207712023.88428909</v>
      </c>
      <c r="T70" s="138"/>
      <c r="U70" s="141"/>
    </row>
    <row r="71" spans="1:23" x14ac:dyDescent="0.25">
      <c r="A71" s="3"/>
      <c r="B71" s="140" t="s">
        <v>94</v>
      </c>
      <c r="C71" s="139">
        <f>+C27</f>
        <v>135051870.15063089</v>
      </c>
      <c r="D71" s="138"/>
      <c r="E71" s="141"/>
      <c r="J71" s="140" t="s">
        <v>94</v>
      </c>
      <c r="K71" s="139">
        <f>+K27</f>
        <v>135051870.15063089</v>
      </c>
      <c r="L71" s="138"/>
      <c r="M71" s="141"/>
      <c r="R71" s="140" t="s">
        <v>94</v>
      </c>
      <c r="S71" s="139">
        <f>+S27</f>
        <v>142481594.35804957</v>
      </c>
      <c r="T71" s="138"/>
      <c r="U71" s="141"/>
    </row>
    <row r="72" spans="1:23" x14ac:dyDescent="0.25">
      <c r="A72" s="3"/>
      <c r="B72" s="140" t="s">
        <v>1</v>
      </c>
      <c r="C72" s="139">
        <f>+C30</f>
        <v>-482089567.40599996</v>
      </c>
      <c r="D72" s="138"/>
      <c r="E72" s="130" t="s">
        <v>93</v>
      </c>
      <c r="J72" s="140" t="s">
        <v>1</v>
      </c>
      <c r="K72" s="139">
        <f>+K30</f>
        <v>-482089567.40599996</v>
      </c>
      <c r="L72" s="138"/>
      <c r="M72" s="130" t="s">
        <v>93</v>
      </c>
      <c r="R72" s="140" t="s">
        <v>1</v>
      </c>
      <c r="S72" s="139">
        <f>+S30</f>
        <v>-115324263.748</v>
      </c>
      <c r="T72" s="138"/>
      <c r="U72" s="130" t="s">
        <v>93</v>
      </c>
    </row>
    <row r="73" spans="1:23" x14ac:dyDescent="0.25">
      <c r="A73" s="3"/>
      <c r="B73" s="132" t="s">
        <v>92</v>
      </c>
      <c r="C73" s="137">
        <f>SUM(C69:C72)</f>
        <v>218995318.3536846</v>
      </c>
      <c r="D73" s="136">
        <v>218995318.35368454</v>
      </c>
      <c r="E73" s="135">
        <f>+C73-D73</f>
        <v>0</v>
      </c>
      <c r="J73" s="132" t="s">
        <v>92</v>
      </c>
      <c r="K73" s="137">
        <f>SUM(K69:K72)</f>
        <v>218995318.3536846</v>
      </c>
      <c r="L73" s="136">
        <v>218995318.35368454</v>
      </c>
      <c r="M73" s="135">
        <f>+K73-L73</f>
        <v>0</v>
      </c>
      <c r="R73" s="132" t="s">
        <v>92</v>
      </c>
      <c r="S73" s="137">
        <f>SUM(S69:S72)</f>
        <v>278972153.37433863</v>
      </c>
      <c r="T73" s="136" t="e">
        <v>#REF!</v>
      </c>
      <c r="U73" s="135" t="e">
        <f>+S73-T73</f>
        <v>#REF!</v>
      </c>
    </row>
    <row r="74" spans="1:23" ht="15.75" thickBot="1" x14ac:dyDescent="0.3">
      <c r="A74" s="3"/>
      <c r="B74" s="132"/>
      <c r="C74" s="134">
        <f>+C73+C67</f>
        <v>1064904157.3822017</v>
      </c>
      <c r="D74" s="134">
        <f>SUM(D67:D73)</f>
        <v>1064904157.3822016</v>
      </c>
      <c r="E74" s="133"/>
      <c r="J74" s="132"/>
      <c r="K74" s="134">
        <f>+K73+K67</f>
        <v>1074266888.2683351</v>
      </c>
      <c r="L74" s="134">
        <f>SUM(L67:L73)</f>
        <v>1074266888.2683349</v>
      </c>
      <c r="M74" s="133"/>
      <c r="R74" s="132"/>
      <c r="S74" s="134">
        <f>+S73+S67</f>
        <v>876153888.92429721</v>
      </c>
      <c r="T74" s="134" t="e">
        <f>SUM(T67:T73)</f>
        <v>#REF!</v>
      </c>
      <c r="U74" s="133"/>
    </row>
    <row r="75" spans="1:23" ht="15.75" thickTop="1" x14ac:dyDescent="0.25">
      <c r="A75" s="3"/>
      <c r="B75" s="132"/>
      <c r="C75" s="131">
        <f>SUM(C15,C18:C20,C25:C27,C30)-C74</f>
        <v>0</v>
      </c>
      <c r="D75" s="131">
        <v>0</v>
      </c>
      <c r="E75" s="130" t="s">
        <v>91</v>
      </c>
      <c r="J75" s="132"/>
      <c r="K75" s="131">
        <f>SUM(K15,K18:K20,K25:K27,K30)-K74</f>
        <v>0</v>
      </c>
      <c r="L75" s="131">
        <v>0</v>
      </c>
      <c r="M75" s="130" t="s">
        <v>91</v>
      </c>
      <c r="R75" s="132"/>
      <c r="S75" s="131">
        <f>SUM(S15,S18:S20,S25:S27,S30)-S74</f>
        <v>0</v>
      </c>
      <c r="T75" s="131" t="e">
        <v>#REF!</v>
      </c>
      <c r="U75" s="130" t="s">
        <v>91</v>
      </c>
    </row>
    <row r="76" spans="1:23" ht="15.75" thickBot="1" x14ac:dyDescent="0.3">
      <c r="A76" s="3"/>
      <c r="B76" s="129"/>
      <c r="C76" s="128"/>
      <c r="D76" s="127"/>
      <c r="E76" s="126"/>
      <c r="J76" s="129"/>
      <c r="K76" s="128"/>
      <c r="L76" s="127"/>
      <c r="M76" s="126"/>
      <c r="R76" s="129"/>
      <c r="S76" s="128"/>
      <c r="T76" s="127"/>
      <c r="U76" s="126"/>
    </row>
    <row r="77" spans="1:23" x14ac:dyDescent="0.25">
      <c r="A77" s="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x14ac:dyDescent="0.25">
      <c r="A78" s="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x14ac:dyDescent="0.25">
      <c r="A79" s="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x14ac:dyDescent="0.25">
      <c r="A80" s="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x14ac:dyDescent="0.25">
      <c r="A81" s="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x14ac:dyDescent="0.25">
      <c r="A82" s="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x14ac:dyDescent="0.25">
      <c r="A83" s="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x14ac:dyDescent="0.25">
      <c r="A84" s="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x14ac:dyDescent="0.25">
      <c r="A85" s="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x14ac:dyDescent="0.25">
      <c r="A86" s="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x14ac:dyDescent="0.25">
      <c r="A87" s="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x14ac:dyDescent="0.25">
      <c r="A88" s="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x14ac:dyDescent="0.25">
      <c r="A89" s="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x14ac:dyDescent="0.25">
      <c r="A90" s="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x14ac:dyDescent="0.25">
      <c r="A91" s="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x14ac:dyDescent="0.25">
      <c r="A92" s="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x14ac:dyDescent="0.25">
      <c r="A93" s="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x14ac:dyDescent="0.25">
      <c r="A94" s="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x14ac:dyDescent="0.25">
      <c r="A95" s="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x14ac:dyDescent="0.25">
      <c r="A96" s="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x14ac:dyDescent="0.25">
      <c r="A97" s="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x14ac:dyDescent="0.25">
      <c r="A98" s="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x14ac:dyDescent="0.25">
      <c r="A99" s="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x14ac:dyDescent="0.25">
      <c r="A100" s="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x14ac:dyDescent="0.25">
      <c r="A101" s="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x14ac:dyDescent="0.25">
      <c r="A102" s="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x14ac:dyDescent="0.25">
      <c r="A103" s="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x14ac:dyDescent="0.25">
      <c r="A104" s="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x14ac:dyDescent="0.25">
      <c r="A105" s="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x14ac:dyDescent="0.25">
      <c r="A106" s="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x14ac:dyDescent="0.25">
      <c r="A107" s="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x14ac:dyDescent="0.25">
      <c r="A108" s="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x14ac:dyDescent="0.25">
      <c r="A109" s="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x14ac:dyDescent="0.25">
      <c r="A110" s="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x14ac:dyDescent="0.25">
      <c r="A111" s="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x14ac:dyDescent="0.25">
      <c r="A112" s="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x14ac:dyDescent="0.25">
      <c r="A113" s="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x14ac:dyDescent="0.25">
      <c r="A114" s="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x14ac:dyDescent="0.25">
      <c r="A115" s="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x14ac:dyDescent="0.25">
      <c r="A116" s="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x14ac:dyDescent="0.25">
      <c r="A117" s="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x14ac:dyDescent="0.25">
      <c r="A118" s="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2:23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2:23" x14ac:dyDescent="0.25">
      <c r="B130" s="2"/>
      <c r="C130" s="2"/>
    </row>
    <row r="131" spans="2:23" x14ac:dyDescent="0.25">
      <c r="B131" s="2"/>
      <c r="C131" s="2"/>
    </row>
    <row r="132" spans="2:23" x14ac:dyDescent="0.25">
      <c r="B132" s="2"/>
      <c r="C132" s="2"/>
    </row>
    <row r="133" spans="2:23" x14ac:dyDescent="0.25">
      <c r="B133" s="2"/>
      <c r="C133" s="2"/>
    </row>
    <row r="134" spans="2:23" x14ac:dyDescent="0.25">
      <c r="B134" s="2"/>
      <c r="C134" s="2"/>
    </row>
    <row r="135" spans="2:23" x14ac:dyDescent="0.25">
      <c r="B135" s="2"/>
      <c r="C135" s="2"/>
    </row>
    <row r="136" spans="2:23" x14ac:dyDescent="0.25">
      <c r="B136" s="2"/>
      <c r="C136" s="2"/>
    </row>
    <row r="137" spans="2:23" x14ac:dyDescent="0.25">
      <c r="B137" s="2"/>
      <c r="C137" s="2"/>
    </row>
    <row r="138" spans="2:23" x14ac:dyDescent="0.25">
      <c r="B138" s="2"/>
      <c r="C138" s="2"/>
    </row>
    <row r="139" spans="2:23" x14ac:dyDescent="0.25">
      <c r="B139" s="2"/>
      <c r="C139" s="2"/>
    </row>
    <row r="140" spans="2:23" x14ac:dyDescent="0.25">
      <c r="B140" s="2"/>
      <c r="C140" s="2"/>
    </row>
    <row r="141" spans="2:23" x14ac:dyDescent="0.25">
      <c r="B141" s="2"/>
      <c r="C141" s="2"/>
    </row>
    <row r="142" spans="2:23" x14ac:dyDescent="0.25">
      <c r="B142" s="2"/>
      <c r="C142" s="2"/>
    </row>
    <row r="143" spans="2:23" x14ac:dyDescent="0.25">
      <c r="B143" s="2"/>
      <c r="C143" s="2"/>
    </row>
    <row r="144" spans="2:2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</sheetData>
  <pageMargins left="0.7" right="0.7" top="0.75" bottom="0.75" header="0.3" footer="0.3"/>
  <pageSetup scale="77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41" sqref="E41"/>
    </sheetView>
  </sheetViews>
  <sheetFormatPr defaultRowHeight="11.25" x14ac:dyDescent="0.2"/>
  <cols>
    <col min="1" max="1" width="4.5703125" style="172" bestFit="1" customWidth="1"/>
    <col min="2" max="2" width="35.7109375" style="172" customWidth="1"/>
    <col min="3" max="3" width="15.42578125" style="172" bestFit="1" customWidth="1"/>
    <col min="4" max="5" width="17.5703125" style="172" bestFit="1" customWidth="1"/>
    <col min="6" max="6" width="1" style="172" customWidth="1"/>
    <col min="7" max="9" width="17.42578125" style="172" customWidth="1"/>
    <col min="10" max="10" width="1" style="172" customWidth="1"/>
    <col min="11" max="11" width="16.5703125" style="172" bestFit="1" customWidth="1"/>
    <col min="12" max="12" width="1.85546875" style="172" customWidth="1"/>
    <col min="13" max="15" width="17.42578125" style="172" customWidth="1"/>
    <col min="16" max="16" width="1" style="172" customWidth="1"/>
    <col min="17" max="17" width="16.5703125" style="172" bestFit="1" customWidth="1"/>
    <col min="18" max="18" width="15.28515625" style="172" bestFit="1" customWidth="1"/>
    <col min="19" max="16384" width="9.140625" style="172"/>
  </cols>
  <sheetData>
    <row r="1" spans="1:18" x14ac:dyDescent="0.2">
      <c r="A1" s="438" t="s">
        <v>68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205"/>
    </row>
    <row r="2" spans="1:18" x14ac:dyDescent="0.2">
      <c r="A2" s="438" t="s">
        <v>168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205"/>
    </row>
    <row r="3" spans="1:18" x14ac:dyDescent="0.2">
      <c r="A3" s="438" t="s">
        <v>80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205"/>
    </row>
    <row r="4" spans="1:18" ht="12" thickBot="1" x14ac:dyDescent="0.25">
      <c r="A4" s="205"/>
      <c r="B4" s="205"/>
      <c r="C4" s="205"/>
      <c r="D4" s="208" t="s">
        <v>167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18" ht="12" thickBot="1" x14ac:dyDescent="0.25">
      <c r="A5" s="207"/>
      <c r="B5" s="206"/>
      <c r="C5" s="439" t="s">
        <v>166</v>
      </c>
      <c r="D5" s="440"/>
      <c r="E5" s="441"/>
      <c r="F5" s="179"/>
      <c r="G5" s="442" t="s">
        <v>165</v>
      </c>
      <c r="H5" s="443"/>
      <c r="I5" s="443"/>
      <c r="J5" s="443"/>
      <c r="K5" s="444"/>
      <c r="L5" s="205"/>
      <c r="M5" s="439" t="s">
        <v>164</v>
      </c>
      <c r="N5" s="443"/>
      <c r="O5" s="444"/>
      <c r="P5" s="179"/>
      <c r="Q5" s="204" t="s">
        <v>163</v>
      </c>
      <c r="R5" s="203"/>
    </row>
    <row r="6" spans="1:18" ht="45" x14ac:dyDescent="0.2">
      <c r="A6" s="202" t="s">
        <v>162</v>
      </c>
      <c r="B6" s="202" t="s">
        <v>161</v>
      </c>
      <c r="C6" s="175" t="s">
        <v>160</v>
      </c>
      <c r="D6" s="175" t="s">
        <v>159</v>
      </c>
      <c r="E6" s="175" t="s">
        <v>158</v>
      </c>
      <c r="F6" s="201"/>
      <c r="G6" s="175" t="s">
        <v>157</v>
      </c>
      <c r="H6" s="175" t="s">
        <v>156</v>
      </c>
      <c r="I6" s="175" t="s">
        <v>155</v>
      </c>
      <c r="J6" s="200"/>
      <c r="K6" s="175" t="s">
        <v>154</v>
      </c>
      <c r="L6" s="199"/>
      <c r="M6" s="175" t="s">
        <v>157</v>
      </c>
      <c r="N6" s="175" t="s">
        <v>156</v>
      </c>
      <c r="O6" s="175" t="s">
        <v>155</v>
      </c>
      <c r="P6" s="199"/>
      <c r="Q6" s="175" t="s">
        <v>154</v>
      </c>
    </row>
    <row r="7" spans="1:18" s="196" customFormat="1" x14ac:dyDescent="0.2">
      <c r="A7" s="178"/>
      <c r="B7" s="178"/>
      <c r="C7" s="197" t="s">
        <v>142</v>
      </c>
      <c r="D7" s="197" t="s">
        <v>141</v>
      </c>
      <c r="E7" s="197" t="s">
        <v>138</v>
      </c>
      <c r="F7" s="198"/>
      <c r="G7" s="197" t="s">
        <v>0</v>
      </c>
      <c r="H7" s="197" t="s">
        <v>153</v>
      </c>
      <c r="I7" s="197" t="s">
        <v>16</v>
      </c>
      <c r="J7" s="198"/>
      <c r="K7" s="197" t="s">
        <v>152</v>
      </c>
      <c r="L7" s="198"/>
      <c r="M7" s="197" t="s">
        <v>151</v>
      </c>
      <c r="N7" s="197" t="s">
        <v>150</v>
      </c>
      <c r="O7" s="197" t="s">
        <v>149</v>
      </c>
      <c r="P7" s="198"/>
      <c r="Q7" s="197" t="s">
        <v>148</v>
      </c>
    </row>
    <row r="8" spans="1:18" x14ac:dyDescent="0.2">
      <c r="A8" s="178">
        <v>1</v>
      </c>
      <c r="B8" s="194" t="s">
        <v>147</v>
      </c>
      <c r="C8" s="192">
        <v>0</v>
      </c>
      <c r="D8" s="192">
        <v>22484959000</v>
      </c>
      <c r="E8" s="192">
        <v>22277142000</v>
      </c>
      <c r="F8" s="193"/>
      <c r="G8" s="192">
        <v>0</v>
      </c>
      <c r="H8" s="192">
        <v>22914362847.5</v>
      </c>
      <c r="I8" s="192">
        <v>22723058867.5</v>
      </c>
      <c r="J8" s="193"/>
      <c r="K8" s="193">
        <f>+Q8</f>
        <v>22988348591.320667</v>
      </c>
      <c r="L8" s="193"/>
      <c r="M8" s="192">
        <f t="shared" ref="M8:O9" si="0">+G8</f>
        <v>0</v>
      </c>
      <c r="N8" s="192">
        <f t="shared" si="0"/>
        <v>22914362847.5</v>
      </c>
      <c r="O8" s="192">
        <f t="shared" si="0"/>
        <v>22723058867.5</v>
      </c>
      <c r="P8" s="193"/>
      <c r="Q8" s="193">
        <v>22988348591.320667</v>
      </c>
    </row>
    <row r="9" spans="1:18" x14ac:dyDescent="0.2">
      <c r="A9" s="178">
        <f t="shared" ref="A9:A17" si="1">+A8+1</f>
        <v>2</v>
      </c>
      <c r="B9" s="195" t="s">
        <v>146</v>
      </c>
      <c r="C9" s="195"/>
      <c r="D9" s="195"/>
      <c r="E9" s="193"/>
      <c r="F9" s="193"/>
      <c r="G9" s="193">
        <v>0</v>
      </c>
      <c r="H9" s="193">
        <v>-2184530000</v>
      </c>
      <c r="I9" s="193">
        <v>-2184956000</v>
      </c>
      <c r="J9" s="193"/>
      <c r="K9" s="193">
        <f>+Q9</f>
        <v>-2223284481.9419999</v>
      </c>
      <c r="L9" s="193"/>
      <c r="M9" s="193">
        <f t="shared" si="0"/>
        <v>0</v>
      </c>
      <c r="N9" s="193">
        <f t="shared" si="0"/>
        <v>-2184530000</v>
      </c>
      <c r="O9" s="193">
        <f t="shared" si="0"/>
        <v>-2184956000</v>
      </c>
      <c r="P9" s="193"/>
      <c r="Q9" s="193">
        <v>-2223284481.9419999</v>
      </c>
    </row>
    <row r="10" spans="1:18" x14ac:dyDescent="0.2">
      <c r="A10" s="178">
        <f t="shared" si="1"/>
        <v>3</v>
      </c>
      <c r="B10" s="194" t="s">
        <v>145</v>
      </c>
      <c r="C10" s="190">
        <v>0</v>
      </c>
      <c r="D10" s="190">
        <v>-787369000</v>
      </c>
      <c r="E10" s="190">
        <v>-787369000</v>
      </c>
      <c r="F10" s="193"/>
      <c r="G10" s="193">
        <v>0</v>
      </c>
      <c r="H10" s="193">
        <v>-738422000</v>
      </c>
      <c r="I10" s="193">
        <v>-738422000</v>
      </c>
      <c r="J10" s="193"/>
      <c r="K10" s="193">
        <v>-676659623.26099992</v>
      </c>
      <c r="L10" s="193"/>
      <c r="M10" s="193"/>
      <c r="N10" s="193"/>
      <c r="O10" s="193"/>
      <c r="P10" s="193"/>
      <c r="Q10" s="193">
        <v>0</v>
      </c>
    </row>
    <row r="11" spans="1:18" x14ac:dyDescent="0.2">
      <c r="A11" s="178">
        <f t="shared" si="1"/>
        <v>4</v>
      </c>
      <c r="B11" s="191" t="s">
        <v>144</v>
      </c>
      <c r="C11" s="191"/>
      <c r="D11" s="191"/>
      <c r="E11" s="190"/>
      <c r="F11" s="190"/>
      <c r="G11" s="190"/>
      <c r="H11" s="190"/>
      <c r="I11" s="190"/>
      <c r="J11" s="190"/>
      <c r="K11" s="190">
        <v>3482269.3168131858</v>
      </c>
      <c r="L11" s="190"/>
      <c r="M11" s="190"/>
      <c r="N11" s="190"/>
      <c r="O11" s="190"/>
      <c r="P11" s="190"/>
      <c r="Q11" s="190">
        <v>2103445.7216653079</v>
      </c>
    </row>
    <row r="12" spans="1:18" ht="22.5" x14ac:dyDescent="0.2">
      <c r="A12" s="178">
        <f t="shared" si="1"/>
        <v>5</v>
      </c>
      <c r="B12" s="191" t="s">
        <v>143</v>
      </c>
      <c r="C12" s="192">
        <f>SUM(C8:C11)</f>
        <v>0</v>
      </c>
      <c r="D12" s="192">
        <f>SUM(D8:D11)</f>
        <v>21697590000</v>
      </c>
      <c r="E12" s="192">
        <f>SUM(E8:E11)</f>
        <v>21489773000</v>
      </c>
      <c r="F12" s="190"/>
      <c r="G12" s="192">
        <f>SUM(G8:G11)</f>
        <v>0</v>
      </c>
      <c r="H12" s="192">
        <f>SUM(H8:H11)</f>
        <v>19991410847.5</v>
      </c>
      <c r="I12" s="192">
        <f>SUM(I8:I11)</f>
        <v>19799680867.5</v>
      </c>
      <c r="J12" s="190" t="s">
        <v>142</v>
      </c>
      <c r="K12" s="190">
        <f>SUM(K8:K11)</f>
        <v>20091886755.434479</v>
      </c>
      <c r="L12" s="187" t="s">
        <v>141</v>
      </c>
      <c r="M12" s="192">
        <f>SUM(M8:M11)</f>
        <v>0</v>
      </c>
      <c r="N12" s="192">
        <f>SUM(N8:N11)</f>
        <v>20729832847.5</v>
      </c>
      <c r="O12" s="192">
        <f>SUM(O8:O11)</f>
        <v>20538102867.5</v>
      </c>
      <c r="P12" s="187"/>
      <c r="Q12" s="190">
        <f>SUM(Q8:Q11)</f>
        <v>20767167555.10033</v>
      </c>
    </row>
    <row r="13" spans="1:18" ht="12" thickBot="1" x14ac:dyDescent="0.25">
      <c r="A13" s="178">
        <f t="shared" si="1"/>
        <v>6</v>
      </c>
      <c r="B13" s="191"/>
      <c r="C13" s="190"/>
      <c r="D13" s="190"/>
      <c r="E13" s="190"/>
      <c r="F13" s="190"/>
      <c r="G13" s="190"/>
      <c r="H13" s="190"/>
      <c r="I13" s="190"/>
      <c r="J13" s="190"/>
      <c r="K13" s="190"/>
      <c r="L13" s="187"/>
      <c r="M13" s="190"/>
      <c r="N13" s="190"/>
      <c r="O13" s="190"/>
      <c r="P13" s="187"/>
      <c r="Q13" s="190"/>
    </row>
    <row r="14" spans="1:18" ht="12" thickBot="1" x14ac:dyDescent="0.25">
      <c r="A14" s="184">
        <f t="shared" si="1"/>
        <v>7</v>
      </c>
      <c r="B14" s="189" t="s">
        <v>140</v>
      </c>
      <c r="C14" s="189"/>
      <c r="D14" s="189"/>
      <c r="E14" s="189"/>
      <c r="F14" s="189"/>
      <c r="G14" s="189"/>
      <c r="H14" s="189"/>
      <c r="I14" s="188">
        <f>+K12/I12</f>
        <v>1.0147581109963302</v>
      </c>
      <c r="J14" s="187"/>
      <c r="K14" s="187"/>
      <c r="L14" s="187"/>
      <c r="M14" s="187"/>
      <c r="N14" s="187"/>
      <c r="O14" s="187"/>
      <c r="P14" s="187"/>
      <c r="Q14" s="179"/>
    </row>
    <row r="15" spans="1:18" x14ac:dyDescent="0.2">
      <c r="A15" s="186">
        <f t="shared" si="1"/>
        <v>8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79"/>
    </row>
    <row r="16" spans="1:18" ht="12" thickBot="1" x14ac:dyDescent="0.25">
      <c r="A16" s="186">
        <f t="shared" si="1"/>
        <v>9</v>
      </c>
      <c r="B16" s="180" t="s">
        <v>139</v>
      </c>
      <c r="C16" s="180"/>
      <c r="D16" s="180"/>
      <c r="E16" s="180"/>
      <c r="F16" s="180"/>
      <c r="G16" s="180"/>
      <c r="H16" s="180"/>
      <c r="I16" s="180"/>
      <c r="J16" s="180"/>
      <c r="K16" s="185">
        <v>7372337.2879022108</v>
      </c>
      <c r="L16" s="180" t="s">
        <v>138</v>
      </c>
      <c r="M16" s="180"/>
      <c r="N16" s="180"/>
      <c r="O16" s="180"/>
      <c r="P16" s="180"/>
      <c r="Q16" s="179"/>
    </row>
    <row r="17" spans="1:17" ht="12" thickBot="1" x14ac:dyDescent="0.25">
      <c r="A17" s="184">
        <f t="shared" si="1"/>
        <v>10</v>
      </c>
      <c r="B17" s="183" t="s">
        <v>137</v>
      </c>
      <c r="C17" s="183"/>
      <c r="D17" s="183"/>
      <c r="E17" s="183"/>
      <c r="F17" s="183"/>
      <c r="G17" s="183"/>
      <c r="H17" s="183"/>
      <c r="I17" s="182"/>
      <c r="J17" s="182"/>
      <c r="K17" s="181">
        <f>+K16/K12</f>
        <v>3.6693105917034557E-4</v>
      </c>
      <c r="L17" s="180"/>
      <c r="M17" s="180"/>
      <c r="N17" s="180"/>
      <c r="O17" s="180"/>
      <c r="P17" s="180"/>
      <c r="Q17" s="179"/>
    </row>
    <row r="18" spans="1:17" x14ac:dyDescent="0.2">
      <c r="A18" s="178"/>
      <c r="B18" s="178"/>
      <c r="C18" s="178"/>
      <c r="D18" s="178"/>
      <c r="E18" s="177"/>
      <c r="F18" s="177"/>
      <c r="G18" s="177"/>
      <c r="H18" s="177"/>
      <c r="I18" s="176"/>
      <c r="J18" s="176"/>
      <c r="K18" s="175"/>
      <c r="L18" s="175"/>
      <c r="M18" s="175"/>
      <c r="N18" s="175"/>
      <c r="O18" s="175"/>
      <c r="P18" s="175"/>
      <c r="Q18" s="175"/>
    </row>
    <row r="19" spans="1:17" x14ac:dyDescent="0.2">
      <c r="B19" s="174" t="s">
        <v>136</v>
      </c>
    </row>
    <row r="20" spans="1:17" x14ac:dyDescent="0.2">
      <c r="B20" s="173"/>
    </row>
  </sheetData>
  <mergeCells count="6">
    <mergeCell ref="A1:Q1"/>
    <mergeCell ref="A2:Q2"/>
    <mergeCell ref="A3:Q3"/>
    <mergeCell ref="C5:E5"/>
    <mergeCell ref="G5:K5"/>
    <mergeCell ref="M5:O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85" zoomScaleNormal="85" workbookViewId="0">
      <selection activeCell="F21" sqref="F21:F22"/>
    </sheetView>
  </sheetViews>
  <sheetFormatPr defaultRowHeight="12.75" x14ac:dyDescent="0.2"/>
  <cols>
    <col min="1" max="1" width="9.140625" style="219"/>
    <col min="2" max="2" width="27.140625" style="219" bestFit="1" customWidth="1"/>
    <col min="3" max="3" width="18.140625" style="219" bestFit="1" customWidth="1"/>
    <col min="4" max="6" width="11.5703125" style="219" bestFit="1" customWidth="1"/>
    <col min="7" max="7" width="12.5703125" style="219" bestFit="1" customWidth="1"/>
    <col min="8" max="8" width="26.28515625" style="219" customWidth="1"/>
    <col min="9" max="9" width="18.140625" style="219" bestFit="1" customWidth="1"/>
    <col min="10" max="10" width="17" style="219" bestFit="1" customWidth="1"/>
    <col min="11" max="11" width="18.140625" style="219" bestFit="1" customWidth="1"/>
    <col min="12" max="16384" width="9.140625" style="219"/>
  </cols>
  <sheetData>
    <row r="1" spans="1:13" ht="18.75" x14ac:dyDescent="0.3">
      <c r="A1" s="311" t="s">
        <v>68</v>
      </c>
      <c r="B1" s="303"/>
      <c r="C1" s="304"/>
      <c r="D1" s="304"/>
      <c r="E1" s="304"/>
      <c r="F1" s="304"/>
    </row>
    <row r="2" spans="1:13" ht="21" x14ac:dyDescent="0.35">
      <c r="A2" s="310" t="s">
        <v>229</v>
      </c>
      <c r="B2" s="303"/>
      <c r="C2" s="308" t="s">
        <v>228</v>
      </c>
      <c r="D2" s="307"/>
      <c r="E2" s="307"/>
      <c r="F2" s="307"/>
      <c r="G2" s="306"/>
      <c r="H2" s="306"/>
    </row>
    <row r="3" spans="1:13" ht="21" x14ac:dyDescent="0.35">
      <c r="A3" s="309" t="s">
        <v>80</v>
      </c>
      <c r="B3" s="303"/>
      <c r="C3" s="308" t="s">
        <v>227</v>
      </c>
      <c r="D3" s="307"/>
      <c r="E3" s="307"/>
      <c r="F3" s="307"/>
      <c r="G3" s="306"/>
      <c r="H3" s="306"/>
    </row>
    <row r="4" spans="1:13" ht="18.75" x14ac:dyDescent="0.3">
      <c r="A4" s="267"/>
      <c r="B4" s="305"/>
      <c r="C4" s="304"/>
      <c r="D4" s="304"/>
      <c r="E4" s="304"/>
      <c r="F4" s="304"/>
    </row>
    <row r="5" spans="1:13" ht="15" x14ac:dyDescent="0.25">
      <c r="A5" s="267"/>
      <c r="B5" s="303"/>
      <c r="C5" s="302"/>
      <c r="D5" s="302"/>
      <c r="E5" s="302"/>
      <c r="F5" s="302"/>
    </row>
    <row r="6" spans="1:13" ht="31.5" x14ac:dyDescent="0.25">
      <c r="A6" s="301" t="s">
        <v>202</v>
      </c>
      <c r="B6" s="300" t="s">
        <v>201</v>
      </c>
      <c r="C6" s="299" t="s">
        <v>200</v>
      </c>
      <c r="D6" s="298" t="s">
        <v>199</v>
      </c>
      <c r="E6" s="298" t="s">
        <v>198</v>
      </c>
      <c r="F6" s="297" t="s">
        <v>197</v>
      </c>
    </row>
    <row r="7" spans="1:13" ht="15.75" x14ac:dyDescent="0.25">
      <c r="A7" s="277">
        <v>501</v>
      </c>
      <c r="B7" s="296" t="s">
        <v>196</v>
      </c>
      <c r="C7" s="285">
        <v>65690.561135987547</v>
      </c>
      <c r="D7" s="284">
        <f>+C7</f>
        <v>65690.561135987547</v>
      </c>
      <c r="E7" s="284">
        <v>44102.798880000002</v>
      </c>
      <c r="F7" s="283">
        <v>41753.818174172084</v>
      </c>
      <c r="H7" s="295" t="s">
        <v>226</v>
      </c>
      <c r="I7" s="294" t="s">
        <v>225</v>
      </c>
    </row>
    <row r="8" spans="1:13" ht="15.75" x14ac:dyDescent="0.25">
      <c r="A8" s="277">
        <v>547</v>
      </c>
      <c r="B8" s="276" t="s">
        <v>195</v>
      </c>
      <c r="C8" s="285">
        <v>500342.45447306603</v>
      </c>
      <c r="D8" s="284">
        <f>+C8</f>
        <v>500342.45447306603</v>
      </c>
      <c r="E8" s="284">
        <v>207712.02388428908</v>
      </c>
      <c r="F8" s="283">
        <v>155199.11016863459</v>
      </c>
      <c r="I8" s="282"/>
    </row>
    <row r="9" spans="1:13" ht="15.75" x14ac:dyDescent="0.25">
      <c r="A9" s="277" t="s">
        <v>194</v>
      </c>
      <c r="B9" s="276" t="s">
        <v>193</v>
      </c>
      <c r="C9" s="285">
        <v>76315.417629999996</v>
      </c>
      <c r="D9" s="284">
        <f>+C9</f>
        <v>76315.417629999996</v>
      </c>
      <c r="E9" s="284">
        <v>78092.500537999993</v>
      </c>
      <c r="F9" s="283">
        <v>14178.879207000002</v>
      </c>
      <c r="H9" s="219" t="s">
        <v>90</v>
      </c>
      <c r="I9" s="293">
        <v>2023</v>
      </c>
      <c r="J9" s="293">
        <v>2024</v>
      </c>
      <c r="K9" s="293" t="s">
        <v>224</v>
      </c>
    </row>
    <row r="10" spans="1:13" ht="15.75" x14ac:dyDescent="0.25">
      <c r="A10" s="292" t="s">
        <v>192</v>
      </c>
      <c r="B10" s="276" t="s">
        <v>191</v>
      </c>
      <c r="C10" s="285">
        <v>218065.53486061268</v>
      </c>
      <c r="D10" s="284">
        <f>+C10</f>
        <v>218065.53486061268</v>
      </c>
      <c r="E10" s="284">
        <v>171779.78303756096</v>
      </c>
      <c r="F10" s="283">
        <v>154629.58259088211</v>
      </c>
      <c r="H10" s="282" t="s">
        <v>223</v>
      </c>
      <c r="I10" s="264">
        <v>920947751.5660975</v>
      </c>
      <c r="J10" s="264">
        <v>920971482.2884016</v>
      </c>
      <c r="K10" s="264">
        <v>929865738.43520164</v>
      </c>
    </row>
    <row r="11" spans="1:13" ht="15.75" x14ac:dyDescent="0.25">
      <c r="A11" s="292" t="s">
        <v>190</v>
      </c>
      <c r="B11" s="276" t="s">
        <v>189</v>
      </c>
      <c r="C11" s="285">
        <v>84004.754489873885</v>
      </c>
      <c r="D11" s="284">
        <f>+C11</f>
        <v>84004.754489873885</v>
      </c>
      <c r="E11" s="284">
        <v>130528.6680712118</v>
      </c>
      <c r="F11" s="283">
        <v>75775.032755105276</v>
      </c>
      <c r="H11" s="282" t="s">
        <v>222</v>
      </c>
      <c r="I11" s="264">
        <v>19799680.8675</v>
      </c>
      <c r="J11" s="264">
        <v>19991410.8475</v>
      </c>
      <c r="K11" s="264">
        <v>19991410.8475</v>
      </c>
      <c r="M11" s="291" t="s">
        <v>216</v>
      </c>
    </row>
    <row r="12" spans="1:13" ht="15.75" x14ac:dyDescent="0.25">
      <c r="A12" s="277">
        <v>555</v>
      </c>
      <c r="B12" s="276" t="s">
        <v>188</v>
      </c>
      <c r="C12" s="285">
        <v>449217.67730999494</v>
      </c>
      <c r="D12" s="290">
        <f>+C12+J15</f>
        <v>458111.93345679477</v>
      </c>
      <c r="E12" s="284">
        <v>198498.91878939504</v>
      </c>
      <c r="F12" s="283">
        <v>283341.49241290003</v>
      </c>
      <c r="H12" s="282" t="s">
        <v>221</v>
      </c>
      <c r="I12" s="289">
        <f>+I10/I11</f>
        <v>46.513262396960073</v>
      </c>
      <c r="J12" s="288">
        <f>+J10/J11</f>
        <v>46.068358522258698</v>
      </c>
      <c r="K12" s="289">
        <f>+K10/K11</f>
        <v>46.51326239696008</v>
      </c>
      <c r="M12" s="289">
        <f>I12-K12</f>
        <v>0</v>
      </c>
    </row>
    <row r="13" spans="1:13" ht="15.75" x14ac:dyDescent="0.25">
      <c r="A13" s="277">
        <v>447</v>
      </c>
      <c r="B13" s="276" t="s">
        <v>187</v>
      </c>
      <c r="C13" s="285">
        <v>-482089.56740599999</v>
      </c>
      <c r="D13" s="284">
        <f>+C13</f>
        <v>-482089.56740599999</v>
      </c>
      <c r="E13" s="284">
        <v>-115324.263748</v>
      </c>
      <c r="F13" s="283">
        <v>-46206.031410176467</v>
      </c>
      <c r="H13" s="282" t="s">
        <v>220</v>
      </c>
      <c r="J13" s="288">
        <f>+I12-J12</f>
        <v>0.44490387470137449</v>
      </c>
    </row>
    <row r="14" spans="1:13" ht="15.75" x14ac:dyDescent="0.25">
      <c r="A14" s="287">
        <v>565</v>
      </c>
      <c r="B14" s="276" t="s">
        <v>186</v>
      </c>
      <c r="C14" s="285">
        <v>135051.87015063089</v>
      </c>
      <c r="D14" s="284">
        <f>+C14</f>
        <v>135051.87015063089</v>
      </c>
      <c r="E14" s="284">
        <v>142481.59435804957</v>
      </c>
      <c r="F14" s="283">
        <v>128266.3580567457</v>
      </c>
      <c r="H14" s="282" t="s">
        <v>219</v>
      </c>
      <c r="J14" s="286">
        <f>+J13*J11</f>
        <v>8894256.1467998382</v>
      </c>
    </row>
    <row r="15" spans="1:13" ht="19.5" customHeight="1" x14ac:dyDescent="0.25">
      <c r="A15" s="287">
        <v>456</v>
      </c>
      <c r="B15" s="276" t="s">
        <v>185</v>
      </c>
      <c r="C15" s="285">
        <v>-130266.75517406844</v>
      </c>
      <c r="D15" s="284">
        <f>+C15</f>
        <v>-130266.75517406844</v>
      </c>
      <c r="E15" s="284">
        <v>-24671.916034157108</v>
      </c>
      <c r="F15" s="283">
        <v>-57639.705130644856</v>
      </c>
      <c r="H15" s="282" t="s">
        <v>218</v>
      </c>
      <c r="J15" s="286">
        <f>+J14/1000</f>
        <v>8894.2561467998385</v>
      </c>
    </row>
    <row r="16" spans="1:13" ht="16.5" thickBot="1" x14ac:dyDescent="0.3">
      <c r="A16" s="277">
        <v>557</v>
      </c>
      <c r="B16" s="276" t="s">
        <v>184</v>
      </c>
      <c r="C16" s="285">
        <v>16711.586023277483</v>
      </c>
      <c r="D16" s="284">
        <v>17153.94262085393</v>
      </c>
      <c r="E16" s="284">
        <v>17615.53296393442</v>
      </c>
      <c r="F16" s="283">
        <v>14722.501100000003</v>
      </c>
      <c r="H16" s="282" t="s">
        <v>217</v>
      </c>
    </row>
    <row r="17" spans="1:14" ht="16.5" thickTop="1" x14ac:dyDescent="0.25">
      <c r="A17" s="277"/>
      <c r="B17" s="281" t="s">
        <v>183</v>
      </c>
      <c r="C17" s="280">
        <f>SUM(C7:C16)</f>
        <v>933043.53349337506</v>
      </c>
      <c r="D17" s="279">
        <f>SUM(D7:D16)</f>
        <v>942380.14623775124</v>
      </c>
      <c r="E17" s="279">
        <f>SUM(E7:E16)</f>
        <v>850815.64074028376</v>
      </c>
      <c r="F17" s="278">
        <f>SUM(F7:F16)</f>
        <v>764021.03792461858</v>
      </c>
      <c r="G17" s="260"/>
    </row>
    <row r="18" spans="1:14" ht="15.75" x14ac:dyDescent="0.25">
      <c r="A18" s="277"/>
      <c r="B18" s="276"/>
      <c r="C18" s="275"/>
      <c r="D18" s="274"/>
      <c r="E18" s="274"/>
      <c r="F18" s="273"/>
      <c r="H18" s="272" t="s">
        <v>216</v>
      </c>
      <c r="J18" s="263"/>
      <c r="K18" s="264"/>
      <c r="L18" s="263"/>
    </row>
    <row r="19" spans="1:14" ht="15" x14ac:dyDescent="0.25">
      <c r="A19" s="271"/>
      <c r="B19" s="270" t="s">
        <v>181</v>
      </c>
      <c r="C19" s="269">
        <v>21489772.975280751</v>
      </c>
      <c r="D19" s="269">
        <v>21697589.934758965</v>
      </c>
      <c r="E19" s="269">
        <v>21111988.991196703</v>
      </c>
      <c r="F19" s="268">
        <v>20803205.018951166</v>
      </c>
      <c r="H19" s="255" t="s">
        <v>215</v>
      </c>
      <c r="J19" s="263"/>
      <c r="K19" s="264"/>
      <c r="L19" s="263"/>
    </row>
    <row r="20" spans="1:14" ht="15" x14ac:dyDescent="0.25">
      <c r="A20" s="267"/>
      <c r="B20" s="267"/>
      <c r="C20" s="266"/>
      <c r="D20" s="266"/>
      <c r="E20" s="266"/>
      <c r="F20" s="265"/>
      <c r="H20" s="255" t="s">
        <v>214</v>
      </c>
      <c r="J20" s="263"/>
      <c r="K20" s="264"/>
      <c r="L20" s="263"/>
    </row>
    <row r="21" spans="1:14" x14ac:dyDescent="0.2">
      <c r="A21" s="262" t="s">
        <v>213</v>
      </c>
      <c r="B21" s="258"/>
      <c r="C21" s="261"/>
      <c r="D21" s="256"/>
      <c r="E21" s="256"/>
      <c r="F21" s="256"/>
      <c r="G21" s="260"/>
      <c r="H21" s="255" t="s">
        <v>212</v>
      </c>
    </row>
    <row r="22" spans="1:14" x14ac:dyDescent="0.2">
      <c r="A22" s="259" t="s">
        <v>211</v>
      </c>
      <c r="B22" s="258"/>
      <c r="C22" s="257"/>
      <c r="D22" s="256"/>
      <c r="E22" s="256"/>
      <c r="F22" s="252"/>
      <c r="H22" s="255" t="s">
        <v>210</v>
      </c>
    </row>
    <row r="23" spans="1:14" x14ac:dyDescent="0.2">
      <c r="A23" s="259"/>
      <c r="B23" s="258"/>
      <c r="C23" s="257"/>
      <c r="D23" s="256"/>
      <c r="E23" s="256"/>
      <c r="F23" s="252"/>
      <c r="I23" s="255"/>
    </row>
    <row r="24" spans="1:14" ht="18.75" x14ac:dyDescent="0.3">
      <c r="A24" s="254" t="s">
        <v>209</v>
      </c>
      <c r="B24" s="253"/>
      <c r="F24" s="252"/>
    </row>
    <row r="25" spans="1:14" ht="31.5" x14ac:dyDescent="0.25">
      <c r="A25" s="245" t="s">
        <v>202</v>
      </c>
      <c r="B25" s="244" t="s">
        <v>201</v>
      </c>
      <c r="C25" s="243" t="s">
        <v>200</v>
      </c>
      <c r="D25" s="242" t="s">
        <v>199</v>
      </c>
      <c r="E25" s="242" t="s">
        <v>198</v>
      </c>
      <c r="F25" s="241" t="s">
        <v>197</v>
      </c>
      <c r="J25" s="445" t="s">
        <v>208</v>
      </c>
      <c r="K25" s="446"/>
      <c r="L25" s="446"/>
      <c r="M25" s="446"/>
      <c r="N25" s="447"/>
    </row>
    <row r="26" spans="1:14" ht="15.75" x14ac:dyDescent="0.25">
      <c r="A26" s="228">
        <v>501</v>
      </c>
      <c r="B26" s="240" t="s">
        <v>196</v>
      </c>
      <c r="C26" s="237">
        <v>38111.69404122312</v>
      </c>
      <c r="D26" s="236">
        <v>38111.69404122312</v>
      </c>
      <c r="E26" s="236">
        <v>44102.798880000002</v>
      </c>
      <c r="F26" s="235">
        <v>41753.818174172084</v>
      </c>
      <c r="J26" s="251">
        <v>10209.052031599491</v>
      </c>
      <c r="K26" s="248" t="s">
        <v>207</v>
      </c>
      <c r="L26" s="247"/>
      <c r="M26" s="247"/>
      <c r="N26" s="247"/>
    </row>
    <row r="27" spans="1:14" ht="15.75" x14ac:dyDescent="0.25">
      <c r="A27" s="228">
        <v>547</v>
      </c>
      <c r="B27" s="227" t="s">
        <v>195</v>
      </c>
      <c r="C27" s="237">
        <v>237100.49243944633</v>
      </c>
      <c r="D27" s="236">
        <v>237100.49243944633</v>
      </c>
      <c r="E27" s="236">
        <v>207712.02388428908</v>
      </c>
      <c r="F27" s="235">
        <v>155199.11016863459</v>
      </c>
      <c r="J27" s="249">
        <f>(J15-J26)*1000</f>
        <v>-1314795.8847996525</v>
      </c>
      <c r="K27" s="248" t="s">
        <v>206</v>
      </c>
      <c r="L27" s="247"/>
      <c r="M27" s="247"/>
      <c r="N27" s="247"/>
    </row>
    <row r="28" spans="1:14" ht="15.75" x14ac:dyDescent="0.25">
      <c r="A28" s="228" t="s">
        <v>194</v>
      </c>
      <c r="B28" s="227" t="s">
        <v>193</v>
      </c>
      <c r="C28" s="237">
        <v>76315.417629999996</v>
      </c>
      <c r="D28" s="236">
        <v>76315.417629999996</v>
      </c>
      <c r="E28" s="236">
        <v>78092.500537999993</v>
      </c>
      <c r="F28" s="235">
        <v>14178.879207000002</v>
      </c>
      <c r="J28" s="250">
        <v>0.95234799999999997</v>
      </c>
      <c r="K28" s="247" t="s">
        <v>205</v>
      </c>
      <c r="L28" s="247"/>
      <c r="M28" s="247"/>
      <c r="N28" s="247"/>
    </row>
    <row r="29" spans="1:14" ht="15.75" x14ac:dyDescent="0.25">
      <c r="A29" s="239" t="s">
        <v>192</v>
      </c>
      <c r="B29" s="227" t="s">
        <v>191</v>
      </c>
      <c r="C29" s="237">
        <v>218065.53486061268</v>
      </c>
      <c r="D29" s="236">
        <v>218065.53486061268</v>
      </c>
      <c r="E29" s="236">
        <v>171779.78303756096</v>
      </c>
      <c r="F29" s="235">
        <v>154629.58259088211</v>
      </c>
      <c r="J29" s="249">
        <f>J27/J28</f>
        <v>-1380583.4472269092</v>
      </c>
      <c r="K29" s="248" t="s">
        <v>204</v>
      </c>
      <c r="L29" s="247"/>
      <c r="M29" s="247"/>
      <c r="N29" s="247"/>
    </row>
    <row r="30" spans="1:14" ht="15.75" x14ac:dyDescent="0.25">
      <c r="A30" s="239" t="s">
        <v>190</v>
      </c>
      <c r="B30" s="227" t="s">
        <v>189</v>
      </c>
      <c r="C30" s="237">
        <v>232244.00622087673</v>
      </c>
      <c r="D30" s="236">
        <v>232244.00622087673</v>
      </c>
      <c r="E30" s="236">
        <v>130528.6680712118</v>
      </c>
      <c r="F30" s="235">
        <v>75775.032755105276</v>
      </c>
    </row>
    <row r="31" spans="1:14" ht="15.75" x14ac:dyDescent="0.25">
      <c r="A31" s="228">
        <v>555</v>
      </c>
      <c r="B31" s="227" t="s">
        <v>188</v>
      </c>
      <c r="C31" s="237">
        <v>449217.67730999494</v>
      </c>
      <c r="D31" s="236">
        <v>459426.72934159444</v>
      </c>
      <c r="E31" s="236">
        <v>198498.91878939504</v>
      </c>
      <c r="F31" s="235">
        <v>283341.49241290003</v>
      </c>
    </row>
    <row r="32" spans="1:14" ht="15.75" x14ac:dyDescent="0.25">
      <c r="A32" s="228">
        <v>447</v>
      </c>
      <c r="B32" s="227" t="s">
        <v>187</v>
      </c>
      <c r="C32" s="237">
        <v>-202982.35780100001</v>
      </c>
      <c r="D32" s="236">
        <v>-202982.35780100001</v>
      </c>
      <c r="E32" s="236">
        <v>-115324.263748</v>
      </c>
      <c r="F32" s="235">
        <v>-46206.031410176467</v>
      </c>
    </row>
    <row r="33" spans="1:6" ht="15.75" x14ac:dyDescent="0.25">
      <c r="A33" s="238">
        <v>565</v>
      </c>
      <c r="B33" s="227" t="s">
        <v>186</v>
      </c>
      <c r="C33" s="237">
        <v>135104.27079105316</v>
      </c>
      <c r="D33" s="236">
        <v>135104.27079105316</v>
      </c>
      <c r="E33" s="236">
        <v>142481.59435804957</v>
      </c>
      <c r="F33" s="235">
        <v>128266.3580567457</v>
      </c>
    </row>
    <row r="34" spans="1:6" ht="15.75" x14ac:dyDescent="0.25">
      <c r="A34" s="238">
        <v>456</v>
      </c>
      <c r="B34" s="227" t="s">
        <v>185</v>
      </c>
      <c r="C34" s="237">
        <v>-131067.69711050199</v>
      </c>
      <c r="D34" s="236">
        <v>-131067.69711050199</v>
      </c>
      <c r="E34" s="236">
        <v>-24671.916034157108</v>
      </c>
      <c r="F34" s="235">
        <v>-57639.705130644856</v>
      </c>
    </row>
    <row r="35" spans="1:6" ht="16.5" thickBot="1" x14ac:dyDescent="0.3">
      <c r="A35" s="228">
        <v>557</v>
      </c>
      <c r="B35" s="227" t="s">
        <v>184</v>
      </c>
      <c r="C35" s="237">
        <v>16711.586023277483</v>
      </c>
      <c r="D35" s="236">
        <v>17153.94262085393</v>
      </c>
      <c r="E35" s="236">
        <v>17615.53296393442</v>
      </c>
      <c r="F35" s="235">
        <v>14722.501100000003</v>
      </c>
    </row>
    <row r="36" spans="1:6" ht="16.5" thickTop="1" x14ac:dyDescent="0.25">
      <c r="A36" s="228"/>
      <c r="B36" s="234" t="s">
        <v>183</v>
      </c>
      <c r="C36" s="233">
        <v>1068820.6244049822</v>
      </c>
      <c r="D36" s="232">
        <v>1079472.0330341582</v>
      </c>
      <c r="E36" s="232">
        <v>850815.64074028376</v>
      </c>
      <c r="F36" s="231">
        <v>764021.03792461858</v>
      </c>
    </row>
    <row r="37" spans="1:6" ht="15.75" x14ac:dyDescent="0.25">
      <c r="A37" s="228"/>
      <c r="B37" s="227"/>
      <c r="C37" s="226"/>
      <c r="D37" s="225"/>
      <c r="E37" s="225"/>
      <c r="F37" s="224"/>
    </row>
    <row r="38" spans="1:6" ht="15" x14ac:dyDescent="0.25">
      <c r="A38" s="223"/>
      <c r="B38" s="222" t="s">
        <v>181</v>
      </c>
      <c r="C38" s="221">
        <v>21489772.975280751</v>
      </c>
      <c r="D38" s="221">
        <v>21697589.934758965</v>
      </c>
      <c r="E38" s="221">
        <v>21111988.991196703</v>
      </c>
      <c r="F38" s="220">
        <v>20803205.018951166</v>
      </c>
    </row>
    <row r="39" spans="1:6" ht="18.75" x14ac:dyDescent="0.3">
      <c r="A39" s="246" t="s">
        <v>203</v>
      </c>
    </row>
    <row r="40" spans="1:6" ht="31.5" x14ac:dyDescent="0.25">
      <c r="A40" s="245" t="s">
        <v>202</v>
      </c>
      <c r="B40" s="244" t="s">
        <v>201</v>
      </c>
      <c r="C40" s="243" t="s">
        <v>200</v>
      </c>
      <c r="D40" s="242" t="s">
        <v>199</v>
      </c>
      <c r="E40" s="242" t="s">
        <v>198</v>
      </c>
      <c r="F40" s="241" t="s">
        <v>197</v>
      </c>
    </row>
    <row r="41" spans="1:6" ht="15.75" x14ac:dyDescent="0.25">
      <c r="A41" s="228">
        <v>501</v>
      </c>
      <c r="B41" s="240" t="s">
        <v>196</v>
      </c>
      <c r="C41" s="237">
        <f t="shared" ref="C41:F51" si="0">+C7-C26</f>
        <v>27578.867094764428</v>
      </c>
      <c r="D41" s="236">
        <f t="shared" si="0"/>
        <v>27578.867094764428</v>
      </c>
      <c r="E41" s="236">
        <f t="shared" si="0"/>
        <v>0</v>
      </c>
      <c r="F41" s="235">
        <f t="shared" si="0"/>
        <v>0</v>
      </c>
    </row>
    <row r="42" spans="1:6" ht="15.75" x14ac:dyDescent="0.25">
      <c r="A42" s="228">
        <v>547</v>
      </c>
      <c r="B42" s="227" t="s">
        <v>195</v>
      </c>
      <c r="C42" s="237">
        <f t="shared" si="0"/>
        <v>263241.9620336197</v>
      </c>
      <c r="D42" s="236">
        <f t="shared" si="0"/>
        <v>263241.9620336197</v>
      </c>
      <c r="E42" s="236">
        <f t="shared" si="0"/>
        <v>0</v>
      </c>
      <c r="F42" s="235">
        <f t="shared" si="0"/>
        <v>0</v>
      </c>
    </row>
    <row r="43" spans="1:6" ht="15.75" x14ac:dyDescent="0.25">
      <c r="A43" s="228" t="s">
        <v>194</v>
      </c>
      <c r="B43" s="227" t="s">
        <v>193</v>
      </c>
      <c r="C43" s="237">
        <f t="shared" si="0"/>
        <v>0</v>
      </c>
      <c r="D43" s="236">
        <f t="shared" si="0"/>
        <v>0</v>
      </c>
      <c r="E43" s="236">
        <f t="shared" si="0"/>
        <v>0</v>
      </c>
      <c r="F43" s="235">
        <f t="shared" si="0"/>
        <v>0</v>
      </c>
    </row>
    <row r="44" spans="1:6" ht="15.75" x14ac:dyDescent="0.25">
      <c r="A44" s="239" t="s">
        <v>192</v>
      </c>
      <c r="B44" s="227" t="s">
        <v>191</v>
      </c>
      <c r="C44" s="237">
        <f t="shared" si="0"/>
        <v>0</v>
      </c>
      <c r="D44" s="236">
        <f t="shared" si="0"/>
        <v>0</v>
      </c>
      <c r="E44" s="236">
        <f t="shared" si="0"/>
        <v>0</v>
      </c>
      <c r="F44" s="235">
        <f t="shared" si="0"/>
        <v>0</v>
      </c>
    </row>
    <row r="45" spans="1:6" ht="15.75" x14ac:dyDescent="0.25">
      <c r="A45" s="239" t="s">
        <v>190</v>
      </c>
      <c r="B45" s="227" t="s">
        <v>189</v>
      </c>
      <c r="C45" s="237">
        <f t="shared" si="0"/>
        <v>-148239.25173100285</v>
      </c>
      <c r="D45" s="236">
        <f t="shared" si="0"/>
        <v>-148239.25173100285</v>
      </c>
      <c r="E45" s="236">
        <f t="shared" si="0"/>
        <v>0</v>
      </c>
      <c r="F45" s="235">
        <f t="shared" si="0"/>
        <v>0</v>
      </c>
    </row>
    <row r="46" spans="1:6" ht="15.75" x14ac:dyDescent="0.25">
      <c r="A46" s="228">
        <v>555</v>
      </c>
      <c r="B46" s="227" t="s">
        <v>188</v>
      </c>
      <c r="C46" s="237">
        <f t="shared" si="0"/>
        <v>0</v>
      </c>
      <c r="D46" s="236">
        <f t="shared" si="0"/>
        <v>-1314.7958847996779</v>
      </c>
      <c r="E46" s="236">
        <f t="shared" si="0"/>
        <v>0</v>
      </c>
      <c r="F46" s="235">
        <f t="shared" si="0"/>
        <v>0</v>
      </c>
    </row>
    <row r="47" spans="1:6" ht="15.75" x14ac:dyDescent="0.25">
      <c r="A47" s="228">
        <v>447</v>
      </c>
      <c r="B47" s="227" t="s">
        <v>187</v>
      </c>
      <c r="C47" s="237">
        <f t="shared" si="0"/>
        <v>-279107.20960499998</v>
      </c>
      <c r="D47" s="236">
        <f t="shared" si="0"/>
        <v>-279107.20960499998</v>
      </c>
      <c r="E47" s="236">
        <f t="shared" si="0"/>
        <v>0</v>
      </c>
      <c r="F47" s="235">
        <f t="shared" si="0"/>
        <v>0</v>
      </c>
    </row>
    <row r="48" spans="1:6" ht="15.75" x14ac:dyDescent="0.25">
      <c r="A48" s="238">
        <v>565</v>
      </c>
      <c r="B48" s="227" t="s">
        <v>186</v>
      </c>
      <c r="C48" s="237">
        <f t="shared" si="0"/>
        <v>-52.400640422274591</v>
      </c>
      <c r="D48" s="236">
        <f t="shared" si="0"/>
        <v>-52.400640422274591</v>
      </c>
      <c r="E48" s="236">
        <f t="shared" si="0"/>
        <v>0</v>
      </c>
      <c r="F48" s="235">
        <f t="shared" si="0"/>
        <v>0</v>
      </c>
    </row>
    <row r="49" spans="1:9" ht="15.75" x14ac:dyDescent="0.25">
      <c r="A49" s="238">
        <v>456</v>
      </c>
      <c r="B49" s="227" t="s">
        <v>185</v>
      </c>
      <c r="C49" s="237">
        <f t="shared" si="0"/>
        <v>800.94193643354811</v>
      </c>
      <c r="D49" s="236">
        <f t="shared" si="0"/>
        <v>800.94193643354811</v>
      </c>
      <c r="E49" s="236">
        <f t="shared" si="0"/>
        <v>0</v>
      </c>
      <c r="F49" s="235">
        <f t="shared" si="0"/>
        <v>0</v>
      </c>
    </row>
    <row r="50" spans="1:9" ht="16.5" thickBot="1" x14ac:dyDescent="0.3">
      <c r="A50" s="228">
        <v>557</v>
      </c>
      <c r="B50" s="227" t="s">
        <v>184</v>
      </c>
      <c r="C50" s="237">
        <f t="shared" si="0"/>
        <v>0</v>
      </c>
      <c r="D50" s="236">
        <f t="shared" si="0"/>
        <v>0</v>
      </c>
      <c r="E50" s="236">
        <f t="shared" si="0"/>
        <v>0</v>
      </c>
      <c r="F50" s="235">
        <f t="shared" si="0"/>
        <v>0</v>
      </c>
    </row>
    <row r="51" spans="1:9" ht="24" thickTop="1" x14ac:dyDescent="0.35">
      <c r="A51" s="228"/>
      <c r="B51" s="234" t="s">
        <v>183</v>
      </c>
      <c r="C51" s="233">
        <f t="shared" si="0"/>
        <v>-135777.09091160714</v>
      </c>
      <c r="D51" s="232">
        <f t="shared" si="0"/>
        <v>-137091.88679640694</v>
      </c>
      <c r="E51" s="232">
        <f t="shared" si="0"/>
        <v>0</v>
      </c>
      <c r="F51" s="231">
        <f t="shared" si="0"/>
        <v>0</v>
      </c>
      <c r="G51" s="230" t="s">
        <v>182</v>
      </c>
      <c r="H51" s="229"/>
      <c r="I51" s="229"/>
    </row>
    <row r="52" spans="1:9" ht="15.75" x14ac:dyDescent="0.25">
      <c r="A52" s="228"/>
      <c r="B52" s="227"/>
      <c r="C52" s="226"/>
      <c r="D52" s="225"/>
      <c r="E52" s="225"/>
      <c r="F52" s="224"/>
    </row>
    <row r="53" spans="1:9" ht="15" x14ac:dyDescent="0.25">
      <c r="A53" s="223"/>
      <c r="B53" s="222" t="s">
        <v>181</v>
      </c>
      <c r="C53" s="221">
        <f>+C19-C38</f>
        <v>0</v>
      </c>
      <c r="D53" s="221">
        <f>+D19-D38</f>
        <v>0</v>
      </c>
      <c r="E53" s="221">
        <f>+E19-E38</f>
        <v>0</v>
      </c>
      <c r="F53" s="220">
        <f>+F19-F38</f>
        <v>0</v>
      </c>
    </row>
  </sheetData>
  <mergeCells count="1">
    <mergeCell ref="J25:N25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343ACC-E154-4A0D-9B87-96BB05012CEF}"/>
</file>

<file path=customXml/itemProps2.xml><?xml version="1.0" encoding="utf-8"?>
<ds:datastoreItem xmlns:ds="http://schemas.openxmlformats.org/officeDocument/2006/customXml" ds:itemID="{222B8C1E-EBC4-4AB3-9942-0CA0B7744F50}"/>
</file>

<file path=customXml/itemProps3.xml><?xml version="1.0" encoding="utf-8"?>
<ds:datastoreItem xmlns:ds="http://schemas.openxmlformats.org/officeDocument/2006/customXml" ds:itemID="{D80FDB9F-50F4-495C-ACCD-C430BB4D4CFC}"/>
</file>

<file path=customXml/itemProps4.xml><?xml version="1.0" encoding="utf-8"?>
<ds:datastoreItem xmlns:ds="http://schemas.openxmlformats.org/officeDocument/2006/customXml" ds:itemID="{E2F908F3-8EAA-4600-B8EE-91DF3C59F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Deficiency</vt:lpstr>
      <vt:lpstr>Explain</vt:lpstr>
      <vt:lpstr>Exhibit A-1 2024</vt:lpstr>
      <vt:lpstr>22GRC=&gt;</vt:lpstr>
      <vt:lpstr>Exhibit A-1 22GRC</vt:lpstr>
      <vt:lpstr>22GRC Load</vt:lpstr>
      <vt:lpstr>PKW</vt:lpstr>
      <vt:lpstr>'Exhibit A-1 2024'!Print_Area</vt:lpstr>
      <vt:lpstr>'Exhibit A-1 22GRC'!Print_Area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2023-02-08T16:24:15Z</dcterms:created>
  <dcterms:modified xsi:type="dcterms:W3CDTF">2023-12-26T20:20:39Z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