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M:\2022\2022 WA Elec and Gas GRC\Direct Testimony\4) Andrews\"/>
    </mc:Choice>
  </mc:AlternateContent>
  <xr:revisionPtr revIDLastSave="0" documentId="13_ncr:1_{488B0241-4EB9-403A-A442-9C2ED80334F4}" xr6:coauthVersionLast="45" xr6:coauthVersionMax="45" xr10:uidLastSave="{00000000-0000-0000-0000-000000000000}"/>
  <bookViews>
    <workbookView xWindow="28680" yWindow="-195" windowWidth="29040" windowHeight="15840" firstSheet="1" activeTab="1" xr2:uid="{C14F9419-61FD-4532-8A61-25E66E66D562}"/>
  </bookViews>
  <sheets>
    <sheet name="Acerno_Cache_XXXXX" sheetId="78" state="veryHidden" r:id="rId1"/>
    <sheet name="PROP0SED RATES-12.2022" sheetId="79" r:id="rId2"/>
    <sheet name="PROP0SED RATES-12.2023" sheetId="82" r:id="rId3"/>
    <sheet name="RR SUMMARY" sheetId="55" r:id="rId4"/>
    <sheet name="CF" sheetId="56" r:id="rId5"/>
    <sheet name="ADJ DETAIL INPUT" sheetId="1" r:id="rId6"/>
    <sheet name="ADJ SUMMARY" sheetId="3" r:id="rId7"/>
    <sheet name="Exh. 6 pg 3-4 Gas RY2 Escalatn" sheetId="83" r:id="rId8"/>
    <sheet name="CF WA Gas" sheetId="81" r:id="rId9"/>
    <sheet name="ROO INPUT 1.00" sheetId="5" r:id="rId10"/>
    <sheet name="DEBT CALC 2.14" sheetId="75" r:id="rId11"/>
    <sheet name="LEAD SHEETS-DO NOT ENTER" sheetId="76" r:id="rId12"/>
    <sheet name="Recap Summary" sheetId="6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a">#REF!,#REF!</definedName>
    <definedName name="A7E">#REF!</definedName>
    <definedName name="A7G">#REF!</definedName>
    <definedName name="A9E">#REF!</definedName>
    <definedName name="A9G">#REF!</definedName>
    <definedName name="aa">#REF!</definedName>
    <definedName name="Actual">#REF!</definedName>
    <definedName name="Admin_Transfer_Rate">'[1]Global Parameters'!$D$14</definedName>
    <definedName name="Allocation_Categories">OFFSET('[2]Allocation Factors'!$A$4,0,0,COUNTA('[2]Allocation Factors'!$A:$A)-COUNTA('[2]Allocation Factors'!$A$1:$A$3),1)</definedName>
    <definedName name="Allocators">#REF!</definedName>
    <definedName name="Appliance_Center_2011_OH_Rate">'[1]Global Parameters'!$D$10</definedName>
    <definedName name="Appliance_Center_2012_OH_Rate">'[1]Global Parameters'!$E$10</definedName>
    <definedName name="Appliance_Center_2013_OH_Rate">'[1]Global Parameters'!$F$10</definedName>
    <definedName name="ASSUME">#REF!</definedName>
    <definedName name="ASSUME2">#REF!</definedName>
    <definedName name="ASSUME3">#REF!</definedName>
    <definedName name="_xlnm.Auto_Open">#REF!</definedName>
    <definedName name="Base1_Billing2">#REF!</definedName>
    <definedName name="bb">#REF!</definedName>
    <definedName name="BILLINGS">#REF!</definedName>
    <definedName name="BU_2011_Pay_Increase">'[1]Global Parameters'!$D$20</definedName>
    <definedName name="BU_2012_Pay_Increase">'[1]Global Parameters'!$E$20</definedName>
    <definedName name="BU_2013_Pay_Increase">'[1]Global Parameters'!$F$20</definedName>
    <definedName name="bunit">#REF!</definedName>
    <definedName name="bus">#REF!</definedName>
    <definedName name="busunit">#REF!</definedName>
    <definedName name="busunit1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calc_w_o">#REF!</definedName>
    <definedName name="copy_area">#REF!</definedName>
    <definedName name="crit_cell">#REF!</definedName>
    <definedName name="_xlnm.Criteria">#REF!</definedName>
    <definedName name="data">#REF!</definedName>
    <definedName name="_xlnm.Database">#REF!</definedName>
    <definedName name="Down_vars">#REF!</definedName>
    <definedName name="dsfgsdfg">[3]Macro1!$A$43</definedName>
    <definedName name="E_903">#REF!</definedName>
    <definedName name="E_903_Area">#REF!</definedName>
    <definedName name="E_903_Titles">#REF!,#REF!</definedName>
    <definedName name="E_908_Titles">#REF!,#REF!</definedName>
    <definedName name="E_928_Titles">#REF!,#REF!</definedName>
    <definedName name="E_93">#REF!</definedName>
    <definedName name="E_ADP_Titles">#REF!,#REF!</definedName>
    <definedName name="E_ALL">#REF!</definedName>
    <definedName name="E_ALL_Area">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Global_22266">#REF!</definedName>
    <definedName name="E_INDEX_Area">#REF!</definedName>
    <definedName name="e_Jurisdiction_9466">#REF!</definedName>
    <definedName name="e_JurRollup_9866">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e_ServiceCodeGLJurisdiction_9066">#REF!</definedName>
    <definedName name="e_State_9473">#REF!</definedName>
    <definedName name="e_SystemTotal_11315">#REF!</definedName>
    <definedName name="earn">#REF!</definedName>
    <definedName name="earncode">[4]Sheet3!$A$2:$B$214</definedName>
    <definedName name="EARNDOLLARS">'[5]Earnings and Job Codes'!$A$2:$C$102</definedName>
    <definedName name="earnhours">'[5]Earnings and Job Codes'!$A$2:$D$102</definedName>
    <definedName name="earnings">#REF!</definedName>
    <definedName name="Elec">#REF!</definedName>
    <definedName name="ElecFranchise">#REF!</definedName>
    <definedName name="Electric_Data_Matrix">#REF!</definedName>
    <definedName name="Energy_Efficiency">'[1]Global Parameters'!#REF!</definedName>
    <definedName name="Etable">#REF!</definedName>
    <definedName name="Executives_2011_OH_Rate">'[1]Global Parameters'!$D$8</definedName>
    <definedName name="Executives_2012_OH_Rate">'[1]Global Parameters'!$E$8</definedName>
    <definedName name="Executives_2013_OH_Rate">'[1]Global Parameters'!$F$8</definedName>
    <definedName name="exhibit">#REF!</definedName>
    <definedName name="extract_area">#REF!</definedName>
    <definedName name="factors">'[6]Elec Worksheet'!$K$4:$O$13</definedName>
    <definedName name="Fee_Free_Payment_Options">'[1]Global Parameters'!$H$79</definedName>
    <definedName name="G_804_Titles">#REF!,#REF!</definedName>
    <definedName name="G_807_Titles">#REF!,#REF!</definedName>
    <definedName name="G_928_Titles">#REF!,#REF!</definedName>
    <definedName name="G_93">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Gas">#REF!</definedName>
    <definedName name="GasFranchise">#REF!</definedName>
    <definedName name="gotit">#REF!</definedName>
    <definedName name="Gtable">#REF!</definedName>
    <definedName name="HEADER">#REF!</definedName>
    <definedName name="ID_Elec" localSheetId="4">[7]DebtCalc!#REF!</definedName>
    <definedName name="ID_Elec" localSheetId="10">'DEBT CALC 2.14'!#REF!</definedName>
    <definedName name="ID_Elec" localSheetId="7">[8]DebtCalc!#REF!</definedName>
    <definedName name="ID_Elec" localSheetId="11">#REF!</definedName>
    <definedName name="ID_Elec" localSheetId="1">[8]DebtCalc!#REF!</definedName>
    <definedName name="ID_Elec" localSheetId="2">[8]DebtCalc!#REF!</definedName>
    <definedName name="ID_Elec" localSheetId="12">#REF!</definedName>
    <definedName name="ID_Elec" localSheetId="3">[8]DebtCalc!#REF!</definedName>
    <definedName name="ID_Elec">#REF!</definedName>
    <definedName name="ID_Gas" localSheetId="10">'DEBT CALC 2.14'!#REF!</definedName>
    <definedName name="ID_Gas" localSheetId="11">#REF!</definedName>
    <definedName name="ID_Gas">'[9]DEBT CALC'!#REF!</definedName>
    <definedName name="ID_sorted">#REF!</definedName>
    <definedName name="Incremental_Advertising_Expense">'[1]Global Parameters'!$H$82</definedName>
    <definedName name="Incremental_Increase_to_SIP_Program">'[1]Global Parameters'!$H$81</definedName>
    <definedName name="INDEX">#REF!</definedName>
    <definedName name="INDEX_Area">#REF!</definedName>
    <definedName name="ine">#REF!</definedName>
    <definedName name="Inflation_2012">'[1]Global Parameters'!$E$26</definedName>
    <definedName name="Inflation_2013">'[1]Global Parameters'!$F$26</definedName>
    <definedName name="Inside_Odor_Incremental___Phase_I">'[1]Global Parameters'!$H$83</definedName>
    <definedName name="Inside_Odor_Incremental___Phase_II">'[1]Global Parameters'!$H$84</definedName>
    <definedName name="JurisElec89_90">#REF!</definedName>
    <definedName name="JurisElec93_94">#REF!</definedName>
    <definedName name="JurisGas89_90">#REF!</definedName>
    <definedName name="JurisGas93_94">#REF!</definedName>
    <definedName name="l_JurisdictionAllocators_11269">#REF!</definedName>
    <definedName name="l_JurRollupAllocators_11266">#REF!</definedName>
    <definedName name="l_ResultsofOperationsAverage_5700">#REF!</definedName>
    <definedName name="l_ResultsofOperationsImport_22466">#REF!</definedName>
    <definedName name="l_SystemLevel_22195">#REF!</definedName>
    <definedName name="l_WrkCapAllocators_305274">#REF!</definedName>
    <definedName name="l_WrkCapCombinedWorkingCapitalDetail_305270">#REF!</definedName>
    <definedName name="l_WrkCapCombinedWorkingCapitalSummary_305272">#REF!</definedName>
    <definedName name="l_WrkCapInputandAverage_305274">#REF!</definedName>
    <definedName name="l_WrkCapNonCombinedWorkingCapitalAllocationJurSer_318466">#REF!</definedName>
    <definedName name="l_WrkCapNonCombinedWorkingCapitalAllocationNonOperating_318321">#REF!</definedName>
    <definedName name="l_WrkCapNonCombinedWorkingCapitalAllocationOperating_318323">#REF!</definedName>
    <definedName name="l_WrkCapNonCombinedWorkingCapitalAllocationTotal_318316">#REF!</definedName>
    <definedName name="l_WrkCapNonCombinedWorkingCapitalSummary_305266">#REF!</definedName>
    <definedName name="l_WrkCapProposedWorkingCapitalDetail_354277">#REF!</definedName>
    <definedName name="l_WrkCapProposedWorkingCapitalSummary_355866">#REF!</definedName>
    <definedName name="l_WrkCapSummaryofEarningvsNonEarningAssets_356466">#REF!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onths">#REF!</definedName>
    <definedName name="NBU_2011_Pay_Increase">'[1]Global Parameters'!$D$19</definedName>
    <definedName name="NBU_2012_Pay_Increase">'[1]Global Parameters'!$E$19</definedName>
    <definedName name="NBU_2013_Pay_Increase">'[1]Global Parameters'!$F$19</definedName>
    <definedName name="Non_Executives_2011_OH_Rate">'[1]Global Parameters'!$D$9</definedName>
    <definedName name="Non_Executives_2012_OH_Rate">'[1]Global Parameters'!$E$9</definedName>
    <definedName name="Non_Executives_2013_OH_Rate">'[1]Global Parameters'!$F$9</definedName>
    <definedName name="OANDM">#REF!</definedName>
    <definedName name="offorg">#REF!</definedName>
    <definedName name="OM_Voice_Over">'[1]Global Parameters'!$H$86</definedName>
    <definedName name="option">[10]Decode!$B$1:$E$47</definedName>
    <definedName name="Overtime_OH">'[1]Global Parameters'!$D$12</definedName>
    <definedName name="PAGE1">#REF!</definedName>
    <definedName name="PAGE2">#REF!</definedName>
    <definedName name="Page2.1">#REF!</definedName>
    <definedName name="_xlnm.Print_Area" localSheetId="5">'ADJ DETAIL INPUT'!$A$2:$BG$84</definedName>
    <definedName name="_xlnm.Print_Area" localSheetId="6">'ADJ SUMMARY'!$A$1:$G$66</definedName>
    <definedName name="_xlnm.Print_Area" localSheetId="4">CF!$A$1:$F$29</definedName>
    <definedName name="_xlnm.Print_Area" localSheetId="10">'DEBT CALC 2.14'!$A$1:$I$72</definedName>
    <definedName name="_xlnm.Print_Area" localSheetId="7">'Exh. 6 pg 3-4 Gas RY2 Escalatn'!$A$1:$R$92</definedName>
    <definedName name="_xlnm.Print_Area" localSheetId="11">'LEAD SHEETS-DO NOT ENTER'!$A$2:$AZ$82</definedName>
    <definedName name="_xlnm.Print_Area" localSheetId="1">'PROP0SED RATES-12.2022'!$A$1:$L$82</definedName>
    <definedName name="_xlnm.Print_Area" localSheetId="2">'PROP0SED RATES-12.2023'!$A$1:$K$82</definedName>
    <definedName name="_xlnm.Print_Area" localSheetId="12">'Recap Summary'!$A$1:$R$67</definedName>
    <definedName name="_xlnm.Print_Area" localSheetId="9">'ROO INPUT 1.00'!$A$3:$G$82</definedName>
    <definedName name="_xlnm.Print_Area" localSheetId="3">'RR SUMMARY'!$A$1:$H$33,'RR SUMMARY'!$J$1:$P$19</definedName>
    <definedName name="Print_for_CBReport" localSheetId="12">'Recap Summary'!$A$11:$I$57</definedName>
    <definedName name="Print_for_Checking" localSheetId="10">'[11]ADJ SUMMARY'!$A$1:'[11]ADJ SUMMARY'!#REF!</definedName>
    <definedName name="Print_for_Checking" localSheetId="12">'Recap Summary'!$A$11:$I$57</definedName>
    <definedName name="Print_for_Checking">'[9]ADJ SUMMARY'!#REF!:'[9]ADJ SUMMARY'!#REF!</definedName>
    <definedName name="_xlnm.Print_Titles" localSheetId="5">'ADJ DETAIL INPUT'!$A:$D,'ADJ DETAIL INPUT'!$2:$10</definedName>
    <definedName name="_xlnm.Print_Titles" localSheetId="11">'LEAD SHEETS-DO NOT ENTER'!$A:$D,'LEAD SHEETS-DO NOT ENTER'!$2:$11</definedName>
    <definedName name="PrintAll">#REF!</definedName>
    <definedName name="qry_Step6_CombineInfo">#REF!</definedName>
    <definedName name="Rate_Case_Dependent_FTEs">'[1]Global Parameters'!$H$88</definedName>
    <definedName name="rbcalc">#REF!</definedName>
    <definedName name="rbcalc_heading">#REF!</definedName>
    <definedName name="RC_Data">OFFSET(RC_List,0,0,ROWS(RC_List),COLUMNS([12]Database!$A$3:$G$3))</definedName>
    <definedName name="RC_List">OFFSET([12]Database!$A$3,1,0,COUNTA(OFFSET([12]Database!$A$3,1,0,400,1)),1)</definedName>
    <definedName name="RD_Increase">'[1]Global Parameters'!$H$80</definedName>
    <definedName name="Recover">[13]Macro1!$A$85</definedName>
    <definedName name="report">#REF!</definedName>
    <definedName name="REVREQ">#REF!</definedName>
    <definedName name="RRC_Adjustment_Print">#REF!</definedName>
    <definedName name="RRC_Rate_Print">#REF!</definedName>
    <definedName name="Service_Appointment_Windows_O_M">'[1]Global Parameters'!$H$85</definedName>
    <definedName name="so">#REF!</definedName>
    <definedName name="special01D">[4]Sheet2!$B$100:$E$236</definedName>
    <definedName name="start">#REF!</definedName>
    <definedName name="Summary" localSheetId="10">#REF!</definedName>
    <definedName name="Summary" localSheetId="11">#REF!</definedName>
    <definedName name="Summary">#REF!</definedName>
    <definedName name="SUPPL">#REF!</definedName>
    <definedName name="TableName">"Dummy"</definedName>
    <definedName name="TB">#N/A</definedName>
    <definedName name="tp_heading">#REF!</definedName>
    <definedName name="UI_Entity_Groups">#REF!</definedName>
    <definedName name="UI_Reports">#REF!</definedName>
    <definedName name="UI_Scenarios">#REF!</definedName>
    <definedName name="unit">#REF!</definedName>
    <definedName name="Unloading_Factor">'[1]Global Parameters'!$D$13</definedName>
    <definedName name="ValidGroups">[14]Groups!$E$1:$E$20</definedName>
    <definedName name="VSH_Rate">'[1]Global Parameters'!$D$11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 localSheetId="4">[7]DebtCalc!#REF!</definedName>
    <definedName name="WA_Elec" localSheetId="10">'DEBT CALC 2.14'!$A$1:$F$73</definedName>
    <definedName name="WA_Elec" localSheetId="7">[8]DebtCalc!#REF!</definedName>
    <definedName name="WA_Elec" localSheetId="11">#REF!</definedName>
    <definedName name="WA_Elec" localSheetId="1">[8]DebtCalc!#REF!</definedName>
    <definedName name="WA_Elec" localSheetId="2">[8]DebtCalc!#REF!</definedName>
    <definedName name="WA_Elec" localSheetId="12">#REF!</definedName>
    <definedName name="WA_Elec" localSheetId="3">[8]DebtCalc!#REF!</definedName>
    <definedName name="WA_Elec">#REF!</definedName>
    <definedName name="WA_Gas" localSheetId="10">'DEBT CALC 2.14'!#REF!</definedName>
    <definedName name="WA_Gas" localSheetId="11">#REF!</definedName>
    <definedName name="WA_Gas">'[9]DEBT CALC'!#REF!</definedName>
    <definedName name="wks89_90">#REF!</definedName>
    <definedName name="WKS93_94">#REF!</definedName>
    <definedName name="wrn.All._.Sheets." hidden="1">{"IncSt",#N/A,FALSE,"IS";"BalSht",#N/A,FALSE,"BS";"IntCash",#N/A,FALSE,"Int. Cash";"Stats",#N/A,FALSE,"Stats"}</definedName>
    <definedName name="Z_5BE913A1_B14F_11D2_B0DC_0000832CDFF0_.wvu.Cols" localSheetId="5" hidden="1">'ADJ DETAIL INPUT'!$V:$AT</definedName>
    <definedName name="Z_5BE913A1_B14F_11D2_B0DC_0000832CDFF0_.wvu.Cols" localSheetId="11" hidden="1">'LEAD SHEETS-DO NOT ENTER'!$AB:$AD</definedName>
    <definedName name="Z_5BE913A1_B14F_11D2_B0DC_0000832CDFF0_.wvu.PrintArea" localSheetId="5" hidden="1">'ADJ DETAIL INPUT'!$E$11:$AT$82</definedName>
    <definedName name="Z_5BE913A1_B14F_11D2_B0DC_0000832CDFF0_.wvu.PrintArea" localSheetId="6" hidden="1">'ADJ SUMMARY'!$A$1:$G$49</definedName>
    <definedName name="Z_5BE913A1_B14F_11D2_B0DC_0000832CDFF0_.wvu.PrintArea" localSheetId="11" hidden="1">'LEAD SHEETS-DO NOT ENTER'!$E$12:$AD$83</definedName>
    <definedName name="Z_5BE913A1_B14F_11D2_B0DC_0000832CDFF0_.wvu.PrintArea" localSheetId="12" hidden="1">'Recap Summary'!$A$11:$I$57</definedName>
    <definedName name="Z_5BE913A1_B14F_11D2_B0DC_0000832CDFF0_.wvu.PrintArea" localSheetId="9" hidden="1">'ROO INPUT 1.00'!$A$3:$G$82</definedName>
    <definedName name="Z_5BE913A1_B14F_11D2_B0DC_0000832CDFF0_.wvu.PrintTitles" localSheetId="5" hidden="1">'ADJ DETAIL INPUT'!$A:$D,'ADJ DETAIL INPUT'!$2:$10</definedName>
    <definedName name="Z_5BE913A1_B14F_11D2_B0DC_0000832CDFF0_.wvu.PrintTitles" localSheetId="11" hidden="1">'LEAD SHEETS-DO NOT ENTER'!$A:$D,'LEAD SHEETS-DO NOT ENTER'!$2:$11</definedName>
    <definedName name="Z_5BE913A1_B14F_11D2_B0DC_0000832CDFF0_.wvu.Rows" localSheetId="6" hidden="1">'ADJ SUMMARY'!$25:$25,'ADJ SUMMARY'!$29:$49,'ADJ SUMMARY'!#REF!</definedName>
    <definedName name="Z_5BE913A1_B14F_11D2_B0DC_0000832CDFF0_.wvu.Rows" localSheetId="12" hidden="1">'Recap Summary'!$31:$31,'Recap Summary'!$35:$57,'Recap Summary'!#REF!</definedName>
    <definedName name="Z_A15D1964_B049_11D2_8670_0000832CEEE8_.wvu.Cols" localSheetId="5" hidden="1">'ADJ DETAIL INPUT'!$V:$AT</definedName>
    <definedName name="Z_A15D1964_B049_11D2_8670_0000832CEEE8_.wvu.Cols" localSheetId="11" hidden="1">'LEAD SHEETS-DO NOT ENTER'!$AB:$AD</definedName>
    <definedName name="Z_A15D1964_B049_11D2_8670_0000832CEEE8_.wvu.PrintArea" localSheetId="5" hidden="1">'ADJ DETAIL INPUT'!$E$11:$AT$82</definedName>
    <definedName name="Z_A15D1964_B049_11D2_8670_0000832CEEE8_.wvu.PrintArea" localSheetId="6" hidden="1">'ADJ SUMMARY'!$A$1:$G$49</definedName>
    <definedName name="Z_A15D1964_B049_11D2_8670_0000832CEEE8_.wvu.PrintArea" localSheetId="11" hidden="1">'LEAD SHEETS-DO NOT ENTER'!$E$12:$AD$83</definedName>
    <definedName name="Z_A15D1964_B049_11D2_8670_0000832CEEE8_.wvu.PrintArea" localSheetId="12" hidden="1">'Recap Summary'!$A$11:$I$57</definedName>
    <definedName name="Z_A15D1964_B049_11D2_8670_0000832CEEE8_.wvu.PrintArea" localSheetId="9" hidden="1">'ROO INPUT 1.00'!$A$3:$G$82</definedName>
    <definedName name="Z_A15D1964_B049_11D2_8670_0000832CEEE8_.wvu.PrintTitles" localSheetId="5" hidden="1">'ADJ DETAIL INPUT'!$A:$D,'ADJ DETAIL INPUT'!$2:$10</definedName>
    <definedName name="Z_A15D1964_B049_11D2_8670_0000832CEEE8_.wvu.PrintTitles" localSheetId="11" hidden="1">'LEAD SHEETS-DO NOT ENTER'!$A:$D,'LEAD SHEETS-DO NOT ENTER'!$2:$11</definedName>
    <definedName name="Z_A15D1964_B049_11D2_8670_0000832CEEE8_.wvu.Rows" localSheetId="6" hidden="1">'ADJ SUMMARY'!$25:$25,'ADJ SUMMARY'!$29:$49,'ADJ SUMMARY'!#REF!</definedName>
    <definedName name="Z_A15D1964_B049_11D2_8670_0000832CEEE8_.wvu.Rows" localSheetId="12" hidden="1">'Recap Summary'!$31:$31,'Recap Summary'!$35:$57,'Recap Summary'!#REF!</definedName>
  </definedNames>
  <calcPr calcId="191029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  <c r="C4" i="56"/>
  <c r="A4" i="55"/>
  <c r="F25" i="55"/>
  <c r="E74" i="69" l="1"/>
  <c r="BF62" i="1"/>
  <c r="B64" i="69" l="1"/>
  <c r="B73" i="69"/>
  <c r="B72" i="69"/>
  <c r="B71" i="69"/>
  <c r="B70" i="69"/>
  <c r="B69" i="69"/>
  <c r="B68" i="69"/>
  <c r="B67" i="69"/>
  <c r="B66" i="69"/>
  <c r="B65" i="69"/>
  <c r="B50" i="69"/>
  <c r="B49" i="69"/>
  <c r="B45" i="69"/>
  <c r="B33" i="69"/>
  <c r="G50" i="3"/>
  <c r="G5" i="3"/>
  <c r="AQ8" i="76" l="1"/>
  <c r="AQ9" i="76"/>
  <c r="AQ10" i="76"/>
  <c r="AQ12" i="76"/>
  <c r="AQ15" i="76"/>
  <c r="AQ16" i="76"/>
  <c r="AQ17" i="76"/>
  <c r="AQ22" i="76"/>
  <c r="AQ25" i="76" s="1"/>
  <c r="AQ23" i="76"/>
  <c r="AQ24" i="76"/>
  <c r="AQ28" i="76"/>
  <c r="AQ29" i="76"/>
  <c r="AQ30" i="76"/>
  <c r="AQ34" i="76"/>
  <c r="AQ35" i="76"/>
  <c r="AQ36" i="76"/>
  <c r="AQ39" i="76"/>
  <c r="AQ40" i="76"/>
  <c r="AQ41" i="76"/>
  <c r="AQ44" i="76"/>
  <c r="AQ45" i="76"/>
  <c r="AQ46" i="76"/>
  <c r="AQ47" i="76"/>
  <c r="AQ56" i="76"/>
  <c r="AQ57" i="76"/>
  <c r="AQ63" i="76"/>
  <c r="AQ64" i="76"/>
  <c r="AQ65" i="76"/>
  <c r="AQ69" i="76"/>
  <c r="AQ70" i="76"/>
  <c r="AQ71" i="76"/>
  <c r="AQ74" i="76"/>
  <c r="AQ76" i="76"/>
  <c r="AQ77" i="76"/>
  <c r="AQ78" i="76"/>
  <c r="AQ79" i="76"/>
  <c r="Z8" i="76"/>
  <c r="AA8" i="76"/>
  <c r="AB8" i="76"/>
  <c r="AC8" i="76"/>
  <c r="AD8" i="76"/>
  <c r="AE8" i="76"/>
  <c r="AF8" i="76"/>
  <c r="AG8" i="76"/>
  <c r="AH8" i="76"/>
  <c r="AI8" i="76"/>
  <c r="AJ8" i="76"/>
  <c r="AK8" i="76"/>
  <c r="AL8" i="76"/>
  <c r="AM8" i="76"/>
  <c r="AN8" i="76"/>
  <c r="AO8" i="76"/>
  <c r="AP8" i="76"/>
  <c r="AR8" i="76"/>
  <c r="AS8" i="76"/>
  <c r="AT8" i="76"/>
  <c r="AU8" i="76"/>
  <c r="AV8" i="76"/>
  <c r="AW8" i="76"/>
  <c r="AX8" i="76"/>
  <c r="AY8" i="76"/>
  <c r="AZ8" i="76"/>
  <c r="Z9" i="76"/>
  <c r="AA9" i="76"/>
  <c r="AB9" i="76"/>
  <c r="AC9" i="76"/>
  <c r="AD9" i="76"/>
  <c r="AE9" i="76"/>
  <c r="AF9" i="76"/>
  <c r="AG9" i="76"/>
  <c r="AH9" i="76"/>
  <c r="AI9" i="76"/>
  <c r="AJ9" i="76"/>
  <c r="AK9" i="76"/>
  <c r="AL9" i="76"/>
  <c r="AM9" i="76"/>
  <c r="AN9" i="76"/>
  <c r="AO9" i="76"/>
  <c r="AP9" i="76"/>
  <c r="AR9" i="76"/>
  <c r="AS9" i="76"/>
  <c r="AT9" i="76"/>
  <c r="AU9" i="76"/>
  <c r="AV9" i="76"/>
  <c r="AW9" i="76"/>
  <c r="AX9" i="76"/>
  <c r="AY9" i="76"/>
  <c r="AZ9" i="76"/>
  <c r="Z10" i="76"/>
  <c r="AA10" i="76"/>
  <c r="AB10" i="76"/>
  <c r="AC10" i="76"/>
  <c r="AD10" i="76"/>
  <c r="AE10" i="76"/>
  <c r="AF10" i="76"/>
  <c r="AG10" i="76"/>
  <c r="AH10" i="76"/>
  <c r="AI10" i="76"/>
  <c r="AJ10" i="76"/>
  <c r="AK10" i="76"/>
  <c r="AL10" i="76"/>
  <c r="AM10" i="76"/>
  <c r="AN10" i="76"/>
  <c r="AO10" i="76"/>
  <c r="AP10" i="76"/>
  <c r="AR10" i="76"/>
  <c r="AS10" i="76"/>
  <c r="AT10" i="76"/>
  <c r="AU10" i="76"/>
  <c r="AV10" i="76"/>
  <c r="AW10" i="76"/>
  <c r="AX10" i="76"/>
  <c r="AY10" i="76"/>
  <c r="AZ10" i="76"/>
  <c r="AC11" i="76"/>
  <c r="AN11" i="76"/>
  <c r="Z12" i="76"/>
  <c r="AA12" i="76"/>
  <c r="AB12" i="76"/>
  <c r="AC12" i="76"/>
  <c r="AD12" i="76"/>
  <c r="AE12" i="76"/>
  <c r="AF12" i="76"/>
  <c r="AG12" i="76"/>
  <c r="AH12" i="76"/>
  <c r="AI12" i="76"/>
  <c r="AJ12" i="76"/>
  <c r="AK12" i="76"/>
  <c r="AL12" i="76"/>
  <c r="AM12" i="76"/>
  <c r="AN12" i="76"/>
  <c r="AO12" i="76"/>
  <c r="AP12" i="76"/>
  <c r="AR12" i="76"/>
  <c r="AS12" i="76"/>
  <c r="AT12" i="76"/>
  <c r="AU12" i="76"/>
  <c r="AV12" i="76"/>
  <c r="AW12" i="76"/>
  <c r="AX12" i="76"/>
  <c r="AY12" i="76"/>
  <c r="AZ12" i="76"/>
  <c r="Z15" i="76"/>
  <c r="AA15" i="76"/>
  <c r="AB15" i="76"/>
  <c r="AC15" i="76"/>
  <c r="AD15" i="76"/>
  <c r="AE15" i="76"/>
  <c r="AF15" i="76"/>
  <c r="AG15" i="76"/>
  <c r="AH15" i="76"/>
  <c r="AI15" i="76"/>
  <c r="AJ15" i="76"/>
  <c r="AK15" i="76"/>
  <c r="AL15" i="76"/>
  <c r="AM15" i="76"/>
  <c r="AN15" i="76"/>
  <c r="AO15" i="76"/>
  <c r="AP15" i="76"/>
  <c r="AR15" i="76"/>
  <c r="AS15" i="76"/>
  <c r="AT15" i="76"/>
  <c r="AU15" i="76"/>
  <c r="AV15" i="76"/>
  <c r="AW15" i="76"/>
  <c r="AX15" i="76"/>
  <c r="AY15" i="76"/>
  <c r="AZ15" i="76"/>
  <c r="Z16" i="76"/>
  <c r="AA16" i="76"/>
  <c r="AB16" i="76"/>
  <c r="AC16" i="76"/>
  <c r="AC18" i="76" s="1"/>
  <c r="AD16" i="76"/>
  <c r="AE16" i="76"/>
  <c r="AF16" i="76"/>
  <c r="AG16" i="76"/>
  <c r="AG18" i="76" s="1"/>
  <c r="AH16" i="76"/>
  <c r="AI16" i="76"/>
  <c r="AJ16" i="76"/>
  <c r="AK16" i="76"/>
  <c r="AK18" i="76" s="1"/>
  <c r="AL16" i="76"/>
  <c r="AM16" i="76"/>
  <c r="AN16" i="76"/>
  <c r="AO16" i="76"/>
  <c r="AO18" i="76" s="1"/>
  <c r="AP16" i="76"/>
  <c r="AR16" i="76"/>
  <c r="AS16" i="76"/>
  <c r="AT16" i="76"/>
  <c r="AU16" i="76"/>
  <c r="AV16" i="76"/>
  <c r="AW16" i="76"/>
  <c r="AX16" i="76"/>
  <c r="AY16" i="76"/>
  <c r="AZ16" i="76"/>
  <c r="Z17" i="76"/>
  <c r="AA17" i="76"/>
  <c r="AB17" i="76"/>
  <c r="AC17" i="76"/>
  <c r="AD17" i="76"/>
  <c r="AE17" i="76"/>
  <c r="AF17" i="76"/>
  <c r="AG17" i="76"/>
  <c r="AH17" i="76"/>
  <c r="AI17" i="76"/>
  <c r="AJ17" i="76"/>
  <c r="AK17" i="76"/>
  <c r="AL17" i="76"/>
  <c r="AM17" i="76"/>
  <c r="AN17" i="76"/>
  <c r="AO17" i="76"/>
  <c r="AP17" i="76"/>
  <c r="AR17" i="76"/>
  <c r="AR18" i="76" s="1"/>
  <c r="AS17" i="76"/>
  <c r="AT17" i="76"/>
  <c r="AU17" i="76"/>
  <c r="AV17" i="76"/>
  <c r="AV18" i="76" s="1"/>
  <c r="AW17" i="76"/>
  <c r="AX17" i="76"/>
  <c r="AY17" i="76"/>
  <c r="Z22" i="76"/>
  <c r="AA22" i="76"/>
  <c r="AB22" i="76"/>
  <c r="AC22" i="76"/>
  <c r="AD22" i="76"/>
  <c r="AE22" i="76"/>
  <c r="AF22" i="76"/>
  <c r="AG22" i="76"/>
  <c r="AH22" i="76"/>
  <c r="AI22" i="76"/>
  <c r="AJ22" i="76"/>
  <c r="AK22" i="76"/>
  <c r="AL22" i="76"/>
  <c r="AM22" i="76"/>
  <c r="AN22" i="76"/>
  <c r="AO22" i="76"/>
  <c r="AP22" i="76"/>
  <c r="AR22" i="76"/>
  <c r="AS22" i="76"/>
  <c r="AT22" i="76"/>
  <c r="AU22" i="76"/>
  <c r="AV22" i="76"/>
  <c r="AW22" i="76"/>
  <c r="AX22" i="76"/>
  <c r="AY22" i="76"/>
  <c r="AZ22" i="76"/>
  <c r="Z23" i="76"/>
  <c r="AA23" i="76"/>
  <c r="AB23" i="76"/>
  <c r="AC23" i="76"/>
  <c r="AD23" i="76"/>
  <c r="AF23" i="76"/>
  <c r="AG23" i="76"/>
  <c r="AH23" i="76"/>
  <c r="AI23" i="76"/>
  <c r="AJ23" i="76"/>
  <c r="AK23" i="76"/>
  <c r="AM23" i="76"/>
  <c r="AN23" i="76"/>
  <c r="AO23" i="76"/>
  <c r="AP23" i="76"/>
  <c r="AR23" i="76"/>
  <c r="AS23" i="76"/>
  <c r="AT23" i="76"/>
  <c r="AU23" i="76"/>
  <c r="AV23" i="76"/>
  <c r="AW23" i="76"/>
  <c r="AY23" i="76"/>
  <c r="AZ23" i="76"/>
  <c r="Z24" i="76"/>
  <c r="AA24" i="76"/>
  <c r="AB24" i="76"/>
  <c r="AC24" i="76"/>
  <c r="AD24" i="76"/>
  <c r="AE24" i="76"/>
  <c r="AF24" i="76"/>
  <c r="AG24" i="76"/>
  <c r="AH24" i="76"/>
  <c r="AI24" i="76"/>
  <c r="AJ24" i="76"/>
  <c r="AK24" i="76"/>
  <c r="AL24" i="76"/>
  <c r="AM24" i="76"/>
  <c r="AN24" i="76"/>
  <c r="AO24" i="76"/>
  <c r="AP24" i="76"/>
  <c r="AR24" i="76"/>
  <c r="AS24" i="76"/>
  <c r="AT24" i="76"/>
  <c r="AU24" i="76"/>
  <c r="AV24" i="76"/>
  <c r="AW24" i="76"/>
  <c r="AX24" i="76"/>
  <c r="AY24" i="76"/>
  <c r="AZ24" i="76"/>
  <c r="Z28" i="76"/>
  <c r="AA28" i="76"/>
  <c r="AB28" i="76"/>
  <c r="AC28" i="76"/>
  <c r="AD28" i="76"/>
  <c r="AE28" i="76"/>
  <c r="AF28" i="76"/>
  <c r="AG28" i="76"/>
  <c r="AH28" i="76"/>
  <c r="AI28" i="76"/>
  <c r="AJ28" i="76"/>
  <c r="AK28" i="76"/>
  <c r="AM28" i="76"/>
  <c r="AN28" i="76"/>
  <c r="AO28" i="76"/>
  <c r="AP28" i="76"/>
  <c r="AR28" i="76"/>
  <c r="AS28" i="76"/>
  <c r="AT28" i="76"/>
  <c r="AU28" i="76"/>
  <c r="AV28" i="76"/>
  <c r="AW28" i="76"/>
  <c r="AY28" i="76"/>
  <c r="AZ28" i="76"/>
  <c r="Z29" i="76"/>
  <c r="AA29" i="76"/>
  <c r="AB29" i="76"/>
  <c r="AC29" i="76"/>
  <c r="AD29" i="76"/>
  <c r="AE29" i="76"/>
  <c r="AF29" i="76"/>
  <c r="AG29" i="76"/>
  <c r="AH29" i="76"/>
  <c r="AI29" i="76"/>
  <c r="AJ29" i="76"/>
  <c r="AK29" i="76"/>
  <c r="AL29" i="76"/>
  <c r="AM29" i="76"/>
  <c r="AN29" i="76"/>
  <c r="AO29" i="76"/>
  <c r="AP29" i="76"/>
  <c r="AR29" i="76"/>
  <c r="AS29" i="76"/>
  <c r="AT29" i="76"/>
  <c r="AU29" i="76"/>
  <c r="AV29" i="76"/>
  <c r="AW29" i="76"/>
  <c r="AX29" i="76"/>
  <c r="AY29" i="76"/>
  <c r="AZ29" i="76"/>
  <c r="Z30" i="76"/>
  <c r="AA30" i="76"/>
  <c r="AB30" i="76"/>
  <c r="AC30" i="76"/>
  <c r="AD30" i="76"/>
  <c r="AE30" i="76"/>
  <c r="AF30" i="76"/>
  <c r="AG30" i="76"/>
  <c r="AH30" i="76"/>
  <c r="AI30" i="76"/>
  <c r="AJ30" i="76"/>
  <c r="AK30" i="76"/>
  <c r="AL30" i="76"/>
  <c r="AM30" i="76"/>
  <c r="AN30" i="76"/>
  <c r="AO30" i="76"/>
  <c r="AP30" i="76"/>
  <c r="AR30" i="76"/>
  <c r="AS30" i="76"/>
  <c r="AT30" i="76"/>
  <c r="AU30" i="76"/>
  <c r="AV30" i="76"/>
  <c r="AW30" i="76"/>
  <c r="AX30" i="76"/>
  <c r="AY30" i="76"/>
  <c r="AZ30" i="76"/>
  <c r="Z34" i="76"/>
  <c r="AA34" i="76"/>
  <c r="AB34" i="76"/>
  <c r="AC34" i="76"/>
  <c r="AD34" i="76"/>
  <c r="AF34" i="76"/>
  <c r="AG34" i="76"/>
  <c r="AH34" i="76"/>
  <c r="AI34" i="76"/>
  <c r="AJ34" i="76"/>
  <c r="AK34" i="76"/>
  <c r="AM34" i="76"/>
  <c r="AN34" i="76"/>
  <c r="AO34" i="76"/>
  <c r="AP34" i="76"/>
  <c r="AR34" i="76"/>
  <c r="AT34" i="76"/>
  <c r="AU34" i="76"/>
  <c r="AV34" i="76"/>
  <c r="AW34" i="76"/>
  <c r="AY34" i="76"/>
  <c r="AZ34" i="76"/>
  <c r="Z35" i="76"/>
  <c r="AA35" i="76"/>
  <c r="AB35" i="76"/>
  <c r="AC35" i="76"/>
  <c r="AD35" i="76"/>
  <c r="AE35" i="76"/>
  <c r="AF35" i="76"/>
  <c r="AG35" i="76"/>
  <c r="AH35" i="76"/>
  <c r="AI35" i="76"/>
  <c r="AJ35" i="76"/>
  <c r="AK35" i="76"/>
  <c r="AL35" i="76"/>
  <c r="AM35" i="76"/>
  <c r="AN35" i="76"/>
  <c r="AO35" i="76"/>
  <c r="AP35" i="76"/>
  <c r="AR35" i="76"/>
  <c r="AS35" i="76"/>
  <c r="AT35" i="76"/>
  <c r="AU35" i="76"/>
  <c r="AV35" i="76"/>
  <c r="AW35" i="76"/>
  <c r="AX35" i="76"/>
  <c r="AY35" i="76"/>
  <c r="AZ35" i="76"/>
  <c r="Z36" i="76"/>
  <c r="AA36" i="76"/>
  <c r="AB36" i="76"/>
  <c r="AC36" i="76"/>
  <c r="AD36" i="76"/>
  <c r="AE36" i="76"/>
  <c r="AF36" i="76"/>
  <c r="AG36" i="76"/>
  <c r="AH36" i="76"/>
  <c r="AI36" i="76"/>
  <c r="AJ36" i="76"/>
  <c r="AK36" i="76"/>
  <c r="AL36" i="76"/>
  <c r="AM36" i="76"/>
  <c r="AN36" i="76"/>
  <c r="AO36" i="76"/>
  <c r="AP36" i="76"/>
  <c r="AR36" i="76"/>
  <c r="AS36" i="76"/>
  <c r="AT36" i="76"/>
  <c r="AU36" i="76"/>
  <c r="AV36" i="76"/>
  <c r="AW36" i="76"/>
  <c r="AX36" i="76"/>
  <c r="AY36" i="76"/>
  <c r="AZ36" i="76"/>
  <c r="Z39" i="76"/>
  <c r="AA39" i="76"/>
  <c r="AB39" i="76"/>
  <c r="AC39" i="76"/>
  <c r="AD39" i="76"/>
  <c r="AF39" i="76"/>
  <c r="AG39" i="76"/>
  <c r="AH39" i="76"/>
  <c r="AI39" i="76"/>
  <c r="AJ39" i="76"/>
  <c r="AK39" i="76"/>
  <c r="AM39" i="76"/>
  <c r="AN39" i="76"/>
  <c r="AO39" i="76"/>
  <c r="AP39" i="76"/>
  <c r="AR39" i="76"/>
  <c r="AT39" i="76"/>
  <c r="AU39" i="76"/>
  <c r="AV39" i="76"/>
  <c r="AW39" i="76"/>
  <c r="AY39" i="76"/>
  <c r="AZ39" i="76"/>
  <c r="Z40" i="76"/>
  <c r="AA40" i="76"/>
  <c r="AB40" i="76"/>
  <c r="AC40" i="76"/>
  <c r="AD40" i="76"/>
  <c r="AF40" i="76"/>
  <c r="AG40" i="76"/>
  <c r="AH40" i="76"/>
  <c r="AI40" i="76"/>
  <c r="AJ40" i="76"/>
  <c r="AK40" i="76"/>
  <c r="AM40" i="76"/>
  <c r="AN40" i="76"/>
  <c r="AO40" i="76"/>
  <c r="AP40" i="76"/>
  <c r="AR40" i="76"/>
  <c r="AS40" i="76"/>
  <c r="AT40" i="76"/>
  <c r="AU40" i="76"/>
  <c r="AV40" i="76"/>
  <c r="AW40" i="76"/>
  <c r="AY40" i="76"/>
  <c r="AZ40" i="76"/>
  <c r="Z41" i="76"/>
  <c r="AA41" i="76"/>
  <c r="AB41" i="76"/>
  <c r="AC41" i="76"/>
  <c r="AD41" i="76"/>
  <c r="AE41" i="76"/>
  <c r="AF41" i="76"/>
  <c r="AG41" i="76"/>
  <c r="AH41" i="76"/>
  <c r="AI41" i="76"/>
  <c r="AJ41" i="76"/>
  <c r="AK41" i="76"/>
  <c r="AL41" i="76"/>
  <c r="AM41" i="76"/>
  <c r="AN41" i="76"/>
  <c r="AO41" i="76"/>
  <c r="AP41" i="76"/>
  <c r="AR41" i="76"/>
  <c r="AS41" i="76"/>
  <c r="AT41" i="76"/>
  <c r="AU41" i="76"/>
  <c r="AV41" i="76"/>
  <c r="AW41" i="76"/>
  <c r="AX41" i="76"/>
  <c r="AY41" i="76"/>
  <c r="AZ41" i="76"/>
  <c r="Z44" i="76"/>
  <c r="AA44" i="76"/>
  <c r="AB44" i="76"/>
  <c r="AC44" i="76"/>
  <c r="AD44" i="76"/>
  <c r="AF44" i="76"/>
  <c r="AG44" i="76"/>
  <c r="AH44" i="76"/>
  <c r="AI44" i="76"/>
  <c r="AJ44" i="76"/>
  <c r="AK44" i="76"/>
  <c r="AM44" i="76"/>
  <c r="AN44" i="76"/>
  <c r="AO44" i="76"/>
  <c r="AP44" i="76"/>
  <c r="AR44" i="76"/>
  <c r="AT44" i="76"/>
  <c r="AU44" i="76"/>
  <c r="AV44" i="76"/>
  <c r="AW44" i="76"/>
  <c r="AY44" i="76"/>
  <c r="AZ44" i="76"/>
  <c r="Z45" i="76"/>
  <c r="AA45" i="76"/>
  <c r="AB45" i="76"/>
  <c r="AC45" i="76"/>
  <c r="AD45" i="76"/>
  <c r="AE45" i="76"/>
  <c r="AF45" i="76"/>
  <c r="AG45" i="76"/>
  <c r="AH45" i="76"/>
  <c r="AI45" i="76"/>
  <c r="AJ45" i="76"/>
  <c r="AK45" i="76"/>
  <c r="AL45" i="76"/>
  <c r="AP45" i="76"/>
  <c r="AR45" i="76"/>
  <c r="AS45" i="76"/>
  <c r="AT45" i="76"/>
  <c r="AU45" i="76"/>
  <c r="AV45" i="76"/>
  <c r="AW45" i="76"/>
  <c r="AX45" i="76"/>
  <c r="AZ45" i="76"/>
  <c r="Z46" i="76"/>
  <c r="AA46" i="76"/>
  <c r="AB46" i="76"/>
  <c r="AD46" i="76"/>
  <c r="AE46" i="76"/>
  <c r="AF46" i="76"/>
  <c r="AG46" i="76"/>
  <c r="AH46" i="76"/>
  <c r="AI46" i="76"/>
  <c r="AJ46" i="76"/>
  <c r="AK46" i="76"/>
  <c r="AL46" i="76"/>
  <c r="AM46" i="76"/>
  <c r="AN46" i="76"/>
  <c r="AO46" i="76"/>
  <c r="AP46" i="76"/>
  <c r="AR46" i="76"/>
  <c r="AS46" i="76"/>
  <c r="AT46" i="76"/>
  <c r="AU46" i="76"/>
  <c r="AV46" i="76"/>
  <c r="AW46" i="76"/>
  <c r="AX46" i="76"/>
  <c r="AY46" i="76"/>
  <c r="AZ46" i="76"/>
  <c r="Z47" i="76"/>
  <c r="AA47" i="76"/>
  <c r="AB47" i="76"/>
  <c r="AC47" i="76"/>
  <c r="AD47" i="76"/>
  <c r="AE47" i="76"/>
  <c r="AF47" i="76"/>
  <c r="AG47" i="76"/>
  <c r="AH47" i="76"/>
  <c r="AI47" i="76"/>
  <c r="AJ47" i="76"/>
  <c r="AK47" i="76"/>
  <c r="AL47" i="76"/>
  <c r="AM47" i="76"/>
  <c r="AN47" i="76"/>
  <c r="AO47" i="76"/>
  <c r="AP47" i="76"/>
  <c r="AR47" i="76"/>
  <c r="AS47" i="76"/>
  <c r="AT47" i="76"/>
  <c r="AU47" i="76"/>
  <c r="AV47" i="76"/>
  <c r="AW47" i="76"/>
  <c r="AX47" i="76"/>
  <c r="AY47" i="76"/>
  <c r="AZ47" i="76"/>
  <c r="Z56" i="76"/>
  <c r="AA56" i="76"/>
  <c r="AB56" i="76"/>
  <c r="AC56" i="76"/>
  <c r="AD56" i="76"/>
  <c r="AE56" i="76"/>
  <c r="AF56" i="76"/>
  <c r="AG56" i="76"/>
  <c r="AH56" i="76"/>
  <c r="AI56" i="76"/>
  <c r="AJ56" i="76"/>
  <c r="AK56" i="76"/>
  <c r="AL56" i="76"/>
  <c r="AM56" i="76"/>
  <c r="AN56" i="76"/>
  <c r="AO56" i="76"/>
  <c r="AP56" i="76"/>
  <c r="AR56" i="76"/>
  <c r="AS56" i="76"/>
  <c r="AT56" i="76"/>
  <c r="AU56" i="76"/>
  <c r="AV56" i="76"/>
  <c r="AW56" i="76"/>
  <c r="AX56" i="76"/>
  <c r="AY56" i="76"/>
  <c r="AZ56" i="76"/>
  <c r="Z57" i="76"/>
  <c r="AA57" i="76"/>
  <c r="AB57" i="76"/>
  <c r="AC57" i="76"/>
  <c r="AD57" i="76"/>
  <c r="AE57" i="76"/>
  <c r="AF57" i="76"/>
  <c r="AG57" i="76"/>
  <c r="AH57" i="76"/>
  <c r="AI57" i="76"/>
  <c r="AJ57" i="76"/>
  <c r="AK57" i="76"/>
  <c r="AL57" i="76"/>
  <c r="AM57" i="76"/>
  <c r="AN57" i="76"/>
  <c r="AO57" i="76"/>
  <c r="AP57" i="76"/>
  <c r="AR57" i="76"/>
  <c r="AS57" i="76"/>
  <c r="AT57" i="76"/>
  <c r="AU57" i="76"/>
  <c r="AV57" i="76"/>
  <c r="AW57" i="76"/>
  <c r="AX57" i="76"/>
  <c r="AY57" i="76"/>
  <c r="AZ57" i="76"/>
  <c r="Z63" i="76"/>
  <c r="AA63" i="76"/>
  <c r="AB63" i="76"/>
  <c r="AC63" i="76"/>
  <c r="AD63" i="76"/>
  <c r="AE63" i="76"/>
  <c r="AF63" i="76"/>
  <c r="AG63" i="76"/>
  <c r="AH63" i="76"/>
  <c r="AI63" i="76"/>
  <c r="AJ63" i="76"/>
  <c r="AK63" i="76"/>
  <c r="AL63" i="76"/>
  <c r="AM63" i="76"/>
  <c r="AN63" i="76"/>
  <c r="AO63" i="76"/>
  <c r="AP63" i="76"/>
  <c r="AP66" i="76" s="1"/>
  <c r="AR63" i="76"/>
  <c r="AS63" i="76"/>
  <c r="AT63" i="76"/>
  <c r="AU63" i="76"/>
  <c r="AV63" i="76"/>
  <c r="AW63" i="76"/>
  <c r="AX63" i="76"/>
  <c r="AY63" i="76"/>
  <c r="AZ63" i="76"/>
  <c r="Z64" i="76"/>
  <c r="AA64" i="76"/>
  <c r="AB64" i="76"/>
  <c r="AC64" i="76"/>
  <c r="AD64" i="76"/>
  <c r="AE64" i="76"/>
  <c r="AF64" i="76"/>
  <c r="AG64" i="76"/>
  <c r="AH64" i="76"/>
  <c r="AI64" i="76"/>
  <c r="AJ64" i="76"/>
  <c r="AK64" i="76"/>
  <c r="AL64" i="76"/>
  <c r="AM64" i="76"/>
  <c r="AN64" i="76"/>
  <c r="AO64" i="76"/>
  <c r="AP64" i="76"/>
  <c r="AR64" i="76"/>
  <c r="AS64" i="76"/>
  <c r="AT64" i="76"/>
  <c r="AU64" i="76"/>
  <c r="AV64" i="76"/>
  <c r="AW64" i="76"/>
  <c r="AX64" i="76"/>
  <c r="AY64" i="76"/>
  <c r="AZ64" i="76"/>
  <c r="Z65" i="76"/>
  <c r="AA65" i="76"/>
  <c r="AB65" i="76"/>
  <c r="AC65" i="76"/>
  <c r="AD65" i="76"/>
  <c r="AE65" i="76"/>
  <c r="AF65" i="76"/>
  <c r="AG65" i="76"/>
  <c r="AH65" i="76"/>
  <c r="AI65" i="76"/>
  <c r="AJ65" i="76"/>
  <c r="AK65" i="76"/>
  <c r="AL65" i="76"/>
  <c r="AP65" i="76"/>
  <c r="AR65" i="76"/>
  <c r="AS65" i="76"/>
  <c r="AT65" i="76"/>
  <c r="AU65" i="76"/>
  <c r="AV65" i="76"/>
  <c r="AW65" i="76"/>
  <c r="AX65" i="76"/>
  <c r="AZ65" i="76"/>
  <c r="Z69" i="76"/>
  <c r="AA69" i="76"/>
  <c r="AB69" i="76"/>
  <c r="AC69" i="76"/>
  <c r="AD69" i="76"/>
  <c r="AE69" i="76"/>
  <c r="AF69" i="76"/>
  <c r="AG69" i="76"/>
  <c r="AH69" i="76"/>
  <c r="AI69" i="76"/>
  <c r="AJ69" i="76"/>
  <c r="AK69" i="76"/>
  <c r="AL69" i="76"/>
  <c r="AM69" i="76"/>
  <c r="AN69" i="76"/>
  <c r="AO69" i="76"/>
  <c r="AP69" i="76"/>
  <c r="AR69" i="76"/>
  <c r="AS69" i="76"/>
  <c r="AT69" i="76"/>
  <c r="AU69" i="76"/>
  <c r="AV69" i="76"/>
  <c r="AW69" i="76"/>
  <c r="AX69" i="76"/>
  <c r="AY69" i="76"/>
  <c r="AZ69" i="76"/>
  <c r="AZ72" i="76" s="1"/>
  <c r="Z70" i="76"/>
  <c r="AA70" i="76"/>
  <c r="AB70" i="76"/>
  <c r="AC70" i="76"/>
  <c r="AD70" i="76"/>
  <c r="AE70" i="76"/>
  <c r="AF70" i="76"/>
  <c r="AG70" i="76"/>
  <c r="AH70" i="76"/>
  <c r="AH72" i="76" s="1"/>
  <c r="AI70" i="76"/>
  <c r="AJ70" i="76"/>
  <c r="AK70" i="76"/>
  <c r="AL70" i="76"/>
  <c r="AL72" i="76" s="1"/>
  <c r="AM70" i="76"/>
  <c r="AN70" i="76"/>
  <c r="AO70" i="76"/>
  <c r="AP70" i="76"/>
  <c r="AR70" i="76"/>
  <c r="AS70" i="76"/>
  <c r="AT70" i="76"/>
  <c r="AU70" i="76"/>
  <c r="AV70" i="76"/>
  <c r="AW70" i="76"/>
  <c r="AX70" i="76"/>
  <c r="AY70" i="76"/>
  <c r="AZ70" i="76"/>
  <c r="Z71" i="76"/>
  <c r="AA71" i="76"/>
  <c r="AB71" i="76"/>
  <c r="AC71" i="76"/>
  <c r="AD71" i="76"/>
  <c r="AE71" i="76"/>
  <c r="AF71" i="76"/>
  <c r="AG71" i="76"/>
  <c r="AH71" i="76"/>
  <c r="AI71" i="76"/>
  <c r="AJ71" i="76"/>
  <c r="AK71" i="76"/>
  <c r="AL71" i="76"/>
  <c r="AP71" i="76"/>
  <c r="AR71" i="76"/>
  <c r="AS71" i="76"/>
  <c r="AT71" i="76"/>
  <c r="AU71" i="76"/>
  <c r="AV71" i="76"/>
  <c r="AW71" i="76"/>
  <c r="AX71" i="76"/>
  <c r="AZ71" i="76"/>
  <c r="Z72" i="76"/>
  <c r="Z74" i="76"/>
  <c r="AA74" i="76"/>
  <c r="AB74" i="76"/>
  <c r="AC74" i="76"/>
  <c r="AD74" i="76"/>
  <c r="AE74" i="76"/>
  <c r="AF74" i="76"/>
  <c r="AG74" i="76"/>
  <c r="AH74" i="76"/>
  <c r="AI74" i="76"/>
  <c r="AJ74" i="76"/>
  <c r="AK74" i="76"/>
  <c r="AL74" i="76"/>
  <c r="AM74" i="76"/>
  <c r="AN74" i="76"/>
  <c r="AO74" i="76"/>
  <c r="AP74" i="76"/>
  <c r="AR74" i="76"/>
  <c r="AS74" i="76"/>
  <c r="AT74" i="76"/>
  <c r="AU74" i="76"/>
  <c r="AV74" i="76"/>
  <c r="AW74" i="76"/>
  <c r="AX74" i="76"/>
  <c r="AY74" i="76"/>
  <c r="AZ74" i="76"/>
  <c r="Z76" i="76"/>
  <c r="AA76" i="76"/>
  <c r="AB76" i="76"/>
  <c r="AC76" i="76"/>
  <c r="AD76" i="76"/>
  <c r="AE76" i="76"/>
  <c r="AF76" i="76"/>
  <c r="AG76" i="76"/>
  <c r="AH76" i="76"/>
  <c r="AI76" i="76"/>
  <c r="AJ76" i="76"/>
  <c r="AK76" i="76"/>
  <c r="AL76" i="76"/>
  <c r="AM76" i="76"/>
  <c r="AN76" i="76"/>
  <c r="AO76" i="76"/>
  <c r="AP76" i="76"/>
  <c r="AR76" i="76"/>
  <c r="AS76" i="76"/>
  <c r="AT76" i="76"/>
  <c r="AU76" i="76"/>
  <c r="AV76" i="76"/>
  <c r="AW76" i="76"/>
  <c r="AX76" i="76"/>
  <c r="AY76" i="76"/>
  <c r="AZ76" i="76"/>
  <c r="Z77" i="76"/>
  <c r="AA77" i="76"/>
  <c r="AB77" i="76"/>
  <c r="AC77" i="76"/>
  <c r="AD77" i="76"/>
  <c r="AE77" i="76"/>
  <c r="AF77" i="76"/>
  <c r="AG77" i="76"/>
  <c r="AH77" i="76"/>
  <c r="AI77" i="76"/>
  <c r="AJ77" i="76"/>
  <c r="AK77" i="76"/>
  <c r="AL77" i="76"/>
  <c r="AM77" i="76"/>
  <c r="AN77" i="76"/>
  <c r="AO77" i="76"/>
  <c r="AP77" i="76"/>
  <c r="AR77" i="76"/>
  <c r="AS77" i="76"/>
  <c r="AT77" i="76"/>
  <c r="AU77" i="76"/>
  <c r="AV77" i="76"/>
  <c r="AW77" i="76"/>
  <c r="AX77" i="76"/>
  <c r="AY77" i="76"/>
  <c r="AZ77" i="76"/>
  <c r="Z78" i="76"/>
  <c r="AA78" i="76"/>
  <c r="AB78" i="76"/>
  <c r="AC78" i="76"/>
  <c r="AD78" i="76"/>
  <c r="AE78" i="76"/>
  <c r="AF78" i="76"/>
  <c r="AG78" i="76"/>
  <c r="AH78" i="76"/>
  <c r="AI78" i="76"/>
  <c r="AJ78" i="76"/>
  <c r="AK78" i="76"/>
  <c r="AL78" i="76"/>
  <c r="AM78" i="76"/>
  <c r="AN78" i="76"/>
  <c r="AO78" i="76"/>
  <c r="AP78" i="76"/>
  <c r="AR78" i="76"/>
  <c r="AS78" i="76"/>
  <c r="AT78" i="76"/>
  <c r="AU78" i="76"/>
  <c r="AV78" i="76"/>
  <c r="AW78" i="76"/>
  <c r="AX78" i="76"/>
  <c r="AY78" i="76"/>
  <c r="AZ78" i="76"/>
  <c r="Z79" i="76"/>
  <c r="AA79" i="76"/>
  <c r="AB79" i="76"/>
  <c r="AC79" i="76"/>
  <c r="AD79" i="76"/>
  <c r="AE79" i="76"/>
  <c r="AF79" i="76"/>
  <c r="AG79" i="76"/>
  <c r="AH79" i="76"/>
  <c r="AI79" i="76"/>
  <c r="AJ79" i="76"/>
  <c r="AK79" i="76"/>
  <c r="AL79" i="76"/>
  <c r="AM79" i="76"/>
  <c r="AN79" i="76"/>
  <c r="AO79" i="76"/>
  <c r="AP79" i="76"/>
  <c r="AR79" i="76"/>
  <c r="AS79" i="76"/>
  <c r="AT79" i="76"/>
  <c r="AU79" i="76"/>
  <c r="AV79" i="76"/>
  <c r="AW79" i="76"/>
  <c r="AX79" i="76"/>
  <c r="AY79" i="76"/>
  <c r="AZ79" i="76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AU25" i="76" l="1"/>
  <c r="AP72" i="76"/>
  <c r="AZ31" i="76"/>
  <c r="AZ49" i="76" s="1"/>
  <c r="AO31" i="76"/>
  <c r="AG31" i="76"/>
  <c r="AC31" i="76"/>
  <c r="AQ66" i="76"/>
  <c r="AZ48" i="76"/>
  <c r="AK31" i="76"/>
  <c r="AW72" i="76"/>
  <c r="AS72" i="76"/>
  <c r="AS73" i="76" s="1"/>
  <c r="AS75" i="76" s="1"/>
  <c r="AS82" i="76" s="1"/>
  <c r="AY18" i="76"/>
  <c r="AU18" i="76"/>
  <c r="Z66" i="76"/>
  <c r="X66" i="76"/>
  <c r="X73" i="76" s="1"/>
  <c r="X75" i="76" s="1"/>
  <c r="X82" i="76" s="1"/>
  <c r="X31" i="76"/>
  <c r="AQ31" i="76"/>
  <c r="AV31" i="76"/>
  <c r="AR31" i="76"/>
  <c r="AV48" i="76"/>
  <c r="AR48" i="76"/>
  <c r="AU37" i="76"/>
  <c r="AU49" i="76" s="1"/>
  <c r="AU51" i="76" s="1"/>
  <c r="AD72" i="76"/>
  <c r="AW66" i="76"/>
  <c r="AW73" i="76" s="1"/>
  <c r="AW75" i="76" s="1"/>
  <c r="AW82" i="76" s="1"/>
  <c r="AL66" i="76"/>
  <c r="AH66" i="76"/>
  <c r="AH73" i="76" s="1"/>
  <c r="AH75" i="76" s="1"/>
  <c r="AH82" i="76" s="1"/>
  <c r="AD66" i="76"/>
  <c r="AD73" i="76" s="1"/>
  <c r="AD75" i="76" s="1"/>
  <c r="AD82" i="76" s="1"/>
  <c r="AS66" i="76"/>
  <c r="AU31" i="76"/>
  <c r="AZ37" i="76"/>
  <c r="AV37" i="76"/>
  <c r="AV49" i="76" s="1"/>
  <c r="AV51" i="76" s="1"/>
  <c r="AR37" i="76"/>
  <c r="AO37" i="76"/>
  <c r="AK37" i="76"/>
  <c r="AK49" i="76" s="1"/>
  <c r="AK51" i="76" s="1"/>
  <c r="AG37" i="76"/>
  <c r="AC37" i="76"/>
  <c r="AZ25" i="76"/>
  <c r="AV25" i="76"/>
  <c r="AR25" i="76"/>
  <c r="AR49" i="76" s="1"/>
  <c r="AR51" i="76" s="1"/>
  <c r="AO25" i="76"/>
  <c r="AK25" i="76"/>
  <c r="AG25" i="76"/>
  <c r="AC25" i="76"/>
  <c r="AI72" i="76"/>
  <c r="AE72" i="76"/>
  <c r="AA72" i="76"/>
  <c r="AX72" i="76"/>
  <c r="AT72" i="76"/>
  <c r="AV72" i="76"/>
  <c r="AR72" i="76"/>
  <c r="AI66" i="76"/>
  <c r="AE66" i="76"/>
  <c r="AA66" i="76"/>
  <c r="AX66" i="76"/>
  <c r="AT66" i="76"/>
  <c r="AZ66" i="76"/>
  <c r="AZ73" i="76" s="1"/>
  <c r="AZ75" i="76" s="1"/>
  <c r="AZ82" i="76" s="1"/>
  <c r="AV66" i="76"/>
  <c r="AR66" i="76"/>
  <c r="AR73" i="76" s="1"/>
  <c r="AR75" i="76" s="1"/>
  <c r="AR82" i="76" s="1"/>
  <c r="AQ37" i="76"/>
  <c r="AQ49" i="76" s="1"/>
  <c r="X48" i="76"/>
  <c r="X18" i="76"/>
  <c r="AY37" i="76"/>
  <c r="AY31" i="76"/>
  <c r="AY25" i="76"/>
  <c r="AQ72" i="76"/>
  <c r="AQ73" i="76" s="1"/>
  <c r="AQ75" i="76" s="1"/>
  <c r="AQ82" i="76" s="1"/>
  <c r="AQ48" i="76"/>
  <c r="AQ18" i="76"/>
  <c r="X72" i="76"/>
  <c r="AV73" i="76"/>
  <c r="AV75" i="76" s="1"/>
  <c r="AV82" i="76" s="1"/>
  <c r="X25" i="76"/>
  <c r="AJ72" i="76"/>
  <c r="AF72" i="76"/>
  <c r="AB72" i="76"/>
  <c r="AU72" i="76"/>
  <c r="AJ66" i="76"/>
  <c r="AJ73" i="76" s="1"/>
  <c r="AJ75" i="76" s="1"/>
  <c r="AJ82" i="76" s="1"/>
  <c r="AF66" i="76"/>
  <c r="AB66" i="76"/>
  <c r="AU66" i="76"/>
  <c r="AP48" i="76"/>
  <c r="AH48" i="76"/>
  <c r="AD48" i="76"/>
  <c r="Z48" i="76"/>
  <c r="AW48" i="76"/>
  <c r="AP37" i="76"/>
  <c r="AH37" i="76"/>
  <c r="AD37" i="76"/>
  <c r="Z37" i="76"/>
  <c r="Z49" i="76" s="1"/>
  <c r="Z51" i="76" s="1"/>
  <c r="AW37" i="76"/>
  <c r="AP31" i="76"/>
  <c r="AH31" i="76"/>
  <c r="AD31" i="76"/>
  <c r="Z31" i="76"/>
  <c r="AW31" i="76"/>
  <c r="AS31" i="76"/>
  <c r="AP25" i="76"/>
  <c r="AH25" i="76"/>
  <c r="AD25" i="76"/>
  <c r="Z25" i="76"/>
  <c r="AW25" i="76"/>
  <c r="AW49" i="76" s="1"/>
  <c r="AW51" i="76" s="1"/>
  <c r="AS25" i="76"/>
  <c r="AP18" i="76"/>
  <c r="AL18" i="76"/>
  <c r="AH18" i="76"/>
  <c r="AD18" i="76"/>
  <c r="Z18" i="76"/>
  <c r="AW18" i="76"/>
  <c r="AS18" i="76"/>
  <c r="AL73" i="76"/>
  <c r="AL75" i="76" s="1"/>
  <c r="AL82" i="76" s="1"/>
  <c r="AK48" i="76"/>
  <c r="AK72" i="76"/>
  <c r="AG72" i="76"/>
  <c r="AC72" i="76"/>
  <c r="AP73" i="76"/>
  <c r="AP75" i="76" s="1"/>
  <c r="AP82" i="76" s="1"/>
  <c r="AK66" i="76"/>
  <c r="AG66" i="76"/>
  <c r="AC66" i="76"/>
  <c r="AI48" i="76"/>
  <c r="AA48" i="76"/>
  <c r="AT48" i="76"/>
  <c r="AM37" i="76"/>
  <c r="AI37" i="76"/>
  <c r="AA37" i="76"/>
  <c r="AT37" i="76"/>
  <c r="AM31" i="76"/>
  <c r="AI31" i="76"/>
  <c r="AE31" i="76"/>
  <c r="AA31" i="76"/>
  <c r="AT31" i="76"/>
  <c r="AM25" i="76"/>
  <c r="AI25" i="76"/>
  <c r="AA25" i="76"/>
  <c r="AT25" i="76"/>
  <c r="AM18" i="76"/>
  <c r="AI18" i="76"/>
  <c r="AE18" i="76"/>
  <c r="AA18" i="76"/>
  <c r="AX18" i="76"/>
  <c r="AT18" i="76"/>
  <c r="AG48" i="76"/>
  <c r="X37" i="76"/>
  <c r="Z73" i="76"/>
  <c r="Z75" i="76" s="1"/>
  <c r="Z82" i="76" s="1"/>
  <c r="AJ48" i="76"/>
  <c r="AF48" i="76"/>
  <c r="AB48" i="76"/>
  <c r="AU48" i="76"/>
  <c r="AN37" i="76"/>
  <c r="AJ37" i="76"/>
  <c r="AF37" i="76"/>
  <c r="AB37" i="76"/>
  <c r="AN31" i="76"/>
  <c r="AJ31" i="76"/>
  <c r="AF31" i="76"/>
  <c r="AB31" i="76"/>
  <c r="AN25" i="76"/>
  <c r="AJ25" i="76"/>
  <c r="AF25" i="76"/>
  <c r="AB25" i="76"/>
  <c r="AN18" i="76"/>
  <c r="AJ18" i="76"/>
  <c r="AF18" i="76"/>
  <c r="AB18" i="76"/>
  <c r="AG49" i="76"/>
  <c r="AG51" i="76" s="1"/>
  <c r="AI49" i="76"/>
  <c r="AI51" i="76" s="1"/>
  <c r="AA73" i="76"/>
  <c r="AA75" i="76" s="1"/>
  <c r="AA82" i="76" s="1"/>
  <c r="AX73" i="76"/>
  <c r="AX75" i="76" s="1"/>
  <c r="AX82" i="76" s="1"/>
  <c r="AC73" i="76" l="1"/>
  <c r="AC75" i="76" s="1"/>
  <c r="AC82" i="76" s="1"/>
  <c r="AB73" i="76"/>
  <c r="AB75" i="76" s="1"/>
  <c r="AB82" i="76" s="1"/>
  <c r="X49" i="76"/>
  <c r="X51" i="76" s="1"/>
  <c r="AE73" i="76"/>
  <c r="AE75" i="76" s="1"/>
  <c r="AE82" i="76" s="1"/>
  <c r="AD49" i="76"/>
  <c r="AD51" i="76" s="1"/>
  <c r="AA49" i="76"/>
  <c r="AA51" i="76" s="1"/>
  <c r="AH49" i="76"/>
  <c r="AH51" i="76" s="1"/>
  <c r="AP49" i="76"/>
  <c r="AP51" i="76" s="1"/>
  <c r="AF73" i="76"/>
  <c r="AF75" i="76" s="1"/>
  <c r="AF82" i="76" s="1"/>
  <c r="AT73" i="76"/>
  <c r="AT75" i="76" s="1"/>
  <c r="AT82" i="76" s="1"/>
  <c r="AI73" i="76"/>
  <c r="AI75" i="76" s="1"/>
  <c r="AI82" i="76" s="1"/>
  <c r="AB51" i="76"/>
  <c r="AB49" i="76"/>
  <c r="AU73" i="76"/>
  <c r="AU75" i="76" s="1"/>
  <c r="AU82" i="76" s="1"/>
  <c r="AQ51" i="76"/>
  <c r="AF49" i="76"/>
  <c r="AF51" i="76" s="1"/>
  <c r="AT49" i="76"/>
  <c r="AT51" i="76" s="1"/>
  <c r="AK73" i="76"/>
  <c r="AK75" i="76" s="1"/>
  <c r="AK82" i="76" s="1"/>
  <c r="AJ49" i="76"/>
  <c r="AJ51" i="76" s="1"/>
  <c r="AG73" i="76"/>
  <c r="AG75" i="76" s="1"/>
  <c r="AG82" i="76" s="1"/>
  <c r="N23" i="55"/>
  <c r="M23" i="55"/>
  <c r="O22" i="55"/>
  <c r="O23" i="55" s="1"/>
  <c r="O21" i="55"/>
  <c r="AX43" i="1" l="1"/>
  <c r="AS44" i="76" s="1"/>
  <c r="AS48" i="76" s="1"/>
  <c r="AX38" i="1"/>
  <c r="AS39" i="76" s="1"/>
  <c r="AX33" i="1"/>
  <c r="AS34" i="76" s="1"/>
  <c r="AS37" i="76" s="1"/>
  <c r="AS49" i="76" s="1"/>
  <c r="AS51" i="76" s="1"/>
  <c r="AG43" i="1"/>
  <c r="AE44" i="76" s="1"/>
  <c r="AE48" i="76" s="1"/>
  <c r="AG39" i="1"/>
  <c r="AE40" i="76" s="1"/>
  <c r="AG38" i="1"/>
  <c r="AE39" i="76" s="1"/>
  <c r="AG33" i="1"/>
  <c r="AE34" i="76" s="1"/>
  <c r="AE37" i="76" s="1"/>
  <c r="AG22" i="1"/>
  <c r="AE23" i="76" s="1"/>
  <c r="AE25" i="76" s="1"/>
  <c r="AE49" i="76" l="1"/>
  <c r="AE51" i="76" s="1"/>
  <c r="BC43" i="1"/>
  <c r="AX44" i="76" s="1"/>
  <c r="AX48" i="76" s="1"/>
  <c r="BC39" i="1"/>
  <c r="AX40" i="76" s="1"/>
  <c r="BC38" i="1"/>
  <c r="AX39" i="76" s="1"/>
  <c r="BC33" i="1"/>
  <c r="AX34" i="76" s="1"/>
  <c r="AX37" i="76" s="1"/>
  <c r="BC27" i="1"/>
  <c r="AX28" i="76" s="1"/>
  <c r="AX31" i="76" s="1"/>
  <c r="BC22" i="1"/>
  <c r="AX23" i="76" s="1"/>
  <c r="AX25" i="76" s="1"/>
  <c r="AX49" i="76" s="1"/>
  <c r="AX51" i="76" s="1"/>
  <c r="AN43" i="1"/>
  <c r="AL44" i="76" s="1"/>
  <c r="AL48" i="76" s="1"/>
  <c r="AN39" i="1"/>
  <c r="AL40" i="76" s="1"/>
  <c r="AN38" i="1"/>
  <c r="AL39" i="76" s="1"/>
  <c r="AN33" i="1"/>
  <c r="AL34" i="76" s="1"/>
  <c r="AL37" i="76" s="1"/>
  <c r="AN27" i="1"/>
  <c r="AL28" i="76" s="1"/>
  <c r="AL31" i="76" s="1"/>
  <c r="AN22" i="1"/>
  <c r="AL23" i="76" s="1"/>
  <c r="AL25" i="76" s="1"/>
  <c r="AL49" i="76" l="1"/>
  <c r="AL51" i="76" s="1"/>
  <c r="C27" i="3"/>
  <c r="B30" i="75" s="1"/>
  <c r="B27" i="3"/>
  <c r="X71" i="1"/>
  <c r="X65" i="1"/>
  <c r="X72" i="1" s="1"/>
  <c r="X74" i="1" s="1"/>
  <c r="X81" i="1" s="1"/>
  <c r="I33" i="69" s="1"/>
  <c r="L33" i="69" s="1"/>
  <c r="X47" i="1"/>
  <c r="X36" i="1"/>
  <c r="X30" i="1"/>
  <c r="X24" i="1"/>
  <c r="X17" i="1"/>
  <c r="E27" i="3" l="1"/>
  <c r="X48" i="1"/>
  <c r="X50" i="1" s="1"/>
  <c r="X53" i="1" s="1"/>
  <c r="X54" i="76" s="1"/>
  <c r="F30" i="75" l="1"/>
  <c r="G30" i="75" s="1"/>
  <c r="BD70" i="1" l="1"/>
  <c r="AY71" i="76" s="1"/>
  <c r="AY72" i="76" s="1"/>
  <c r="AQ70" i="1"/>
  <c r="AO71" i="76" s="1"/>
  <c r="AO72" i="76" s="1"/>
  <c r="AP70" i="1"/>
  <c r="AN71" i="76" s="1"/>
  <c r="AN72" i="76" s="1"/>
  <c r="BD64" i="1" l="1"/>
  <c r="AY65" i="76" s="1"/>
  <c r="AY66" i="76" s="1"/>
  <c r="AY73" i="76" s="1"/>
  <c r="AY75" i="76" s="1"/>
  <c r="AY82" i="76" s="1"/>
  <c r="BD44" i="1"/>
  <c r="AY45" i="76" s="1"/>
  <c r="AY48" i="76" s="1"/>
  <c r="AY49" i="76" s="1"/>
  <c r="AY51" i="76" s="1"/>
  <c r="AQ64" i="1"/>
  <c r="AO65" i="76" s="1"/>
  <c r="AO66" i="76" s="1"/>
  <c r="AO73" i="76" s="1"/>
  <c r="AO75" i="76" s="1"/>
  <c r="AO82" i="76" s="1"/>
  <c r="AQ44" i="1"/>
  <c r="AO45" i="76" s="1"/>
  <c r="AO48" i="76" s="1"/>
  <c r="AO49" i="76" s="1"/>
  <c r="AO51" i="76" s="1"/>
  <c r="AP64" i="1"/>
  <c r="AN65" i="76" s="1"/>
  <c r="AN66" i="76" s="1"/>
  <c r="AN73" i="76" s="1"/>
  <c r="AN75" i="76" s="1"/>
  <c r="AN82" i="76" s="1"/>
  <c r="AP44" i="1"/>
  <c r="AN45" i="76" s="1"/>
  <c r="AN48" i="76" s="1"/>
  <c r="AN49" i="76" s="1"/>
  <c r="AN51" i="76" s="1"/>
  <c r="AO70" i="1"/>
  <c r="AM71" i="76" s="1"/>
  <c r="AM72" i="76" s="1"/>
  <c r="AO64" i="1"/>
  <c r="AM65" i="76" s="1"/>
  <c r="AM66" i="76" s="1"/>
  <c r="AO44" i="1"/>
  <c r="AM45" i="76" s="1"/>
  <c r="AM48" i="76" s="1"/>
  <c r="AM49" i="76" s="1"/>
  <c r="AM51" i="76" s="1"/>
  <c r="AM73" i="76" l="1"/>
  <c r="AM75" i="76" s="1"/>
  <c r="AM82" i="76" s="1"/>
  <c r="AV71" i="1"/>
  <c r="AV65" i="1"/>
  <c r="AV72" i="1" s="1"/>
  <c r="AV74" i="1" s="1"/>
  <c r="AV81" i="1" s="1"/>
  <c r="I64" i="69" s="1"/>
  <c r="L64" i="69" s="1"/>
  <c r="AV47" i="1"/>
  <c r="AV36" i="1"/>
  <c r="AV30" i="1"/>
  <c r="AV24" i="1"/>
  <c r="AV17" i="1"/>
  <c r="AV48" i="1" l="1"/>
  <c r="AV50" i="1" s="1"/>
  <c r="AV53" i="1" s="1"/>
  <c r="AQ54" i="76" s="1"/>
  <c r="K74" i="83" l="1"/>
  <c r="K71" i="83"/>
  <c r="K70" i="83"/>
  <c r="K69" i="83"/>
  <c r="K65" i="83"/>
  <c r="K64" i="83"/>
  <c r="K63" i="83"/>
  <c r="K47" i="83"/>
  <c r="K45" i="83"/>
  <c r="K44" i="83"/>
  <c r="K40" i="83"/>
  <c r="K39" i="83"/>
  <c r="K36" i="83"/>
  <c r="K35" i="83"/>
  <c r="K34" i="83"/>
  <c r="K30" i="83"/>
  <c r="K29" i="83"/>
  <c r="K28" i="83"/>
  <c r="K23" i="83"/>
  <c r="M72" i="83" l="1"/>
  <c r="M73" i="83" s="1"/>
  <c r="M75" i="83" s="1"/>
  <c r="M81" i="83" s="1"/>
  <c r="M66" i="83"/>
  <c r="M48" i="83"/>
  <c r="M37" i="83"/>
  <c r="M31" i="83"/>
  <c r="M25" i="83"/>
  <c r="M18" i="83"/>
  <c r="J85" i="83"/>
  <c r="M49" i="83" l="1"/>
  <c r="M51" i="83" s="1"/>
  <c r="M54" i="83" s="1"/>
  <c r="K19" i="83" l="1"/>
  <c r="H1048576" i="83"/>
  <c r="A4" i="83"/>
  <c r="A3" i="83"/>
  <c r="A2" i="83"/>
  <c r="A1" i="83"/>
  <c r="BB71" i="1" l="1"/>
  <c r="BB65" i="1"/>
  <c r="BB47" i="1"/>
  <c r="BB36" i="1"/>
  <c r="BB30" i="1"/>
  <c r="BB24" i="1"/>
  <c r="BB17" i="1"/>
  <c r="BB72" i="1" l="1"/>
  <c r="BB74" i="1" s="1"/>
  <c r="BB81" i="1" s="1"/>
  <c r="I70" i="69" s="1"/>
  <c r="L70" i="69" s="1"/>
  <c r="BB48" i="1"/>
  <c r="BB50" i="1" s="1"/>
  <c r="BB53" i="1" s="1"/>
  <c r="AW54" i="76" s="1"/>
  <c r="BE16" i="1"/>
  <c r="AZ17" i="76" s="1"/>
  <c r="AZ18" i="76" s="1"/>
  <c r="AZ51" i="76" s="1"/>
  <c r="AE45" i="1" l="1"/>
  <c r="AC46" i="76" s="1"/>
  <c r="AC48" i="76" s="1"/>
  <c r="AC49" i="76" s="1"/>
  <c r="AC51" i="76" s="1"/>
  <c r="C53" i="3" l="1"/>
  <c r="B58" i="75" s="1"/>
  <c r="B53" i="3"/>
  <c r="E53" i="3"/>
  <c r="AS17" i="1"/>
  <c r="AS24" i="1"/>
  <c r="AS30" i="1"/>
  <c r="AS36" i="1"/>
  <c r="AS47" i="1"/>
  <c r="AS65" i="1"/>
  <c r="AS71" i="1"/>
  <c r="F58" i="75" l="1"/>
  <c r="G58" i="75" s="1"/>
  <c r="AS72" i="1"/>
  <c r="AS74" i="1" s="1"/>
  <c r="AS81" i="1" s="1"/>
  <c r="AS48" i="1"/>
  <c r="AS50" i="1" s="1"/>
  <c r="AS53" i="1" s="1"/>
  <c r="W70" i="1" l="1"/>
  <c r="W64" i="1"/>
  <c r="S43" i="1" l="1"/>
  <c r="C54" i="3" l="1"/>
  <c r="B49" i="75" s="1"/>
  <c r="C39" i="3"/>
  <c r="B40" i="75" s="1"/>
  <c r="B39" i="3"/>
  <c r="AW10" i="1" l="1"/>
  <c r="AB10" i="1"/>
  <c r="Z11" i="76" s="1"/>
  <c r="AJ17" i="1"/>
  <c r="AJ24" i="1"/>
  <c r="AJ30" i="1"/>
  <c r="AJ36" i="1"/>
  <c r="AJ47" i="1"/>
  <c r="AJ65" i="1"/>
  <c r="AJ71" i="1"/>
  <c r="AX10" i="1" l="1"/>
  <c r="A65" i="69"/>
  <c r="AR11" i="76"/>
  <c r="AJ72" i="1"/>
  <c r="AJ74" i="1" s="1"/>
  <c r="AJ81" i="1" s="1"/>
  <c r="AJ48" i="1"/>
  <c r="AJ50" i="1" s="1"/>
  <c r="AJ53" i="1" s="1"/>
  <c r="AH54" i="76" s="1"/>
  <c r="I72" i="82"/>
  <c r="I66" i="82"/>
  <c r="I73" i="82" s="1"/>
  <c r="I75" i="82" s="1"/>
  <c r="I81" i="82" s="1"/>
  <c r="I31" i="82"/>
  <c r="I25" i="82"/>
  <c r="E39" i="3" l="1"/>
  <c r="I45" i="69"/>
  <c r="L45" i="69" s="1"/>
  <c r="AY10" i="1"/>
  <c r="A66" i="69"/>
  <c r="AS11" i="76"/>
  <c r="AZ36" i="1"/>
  <c r="F40" i="75" l="1"/>
  <c r="G40" i="75" s="1"/>
  <c r="AZ10" i="1"/>
  <c r="A67" i="69"/>
  <c r="AT11" i="76"/>
  <c r="C60" i="3"/>
  <c r="B55" i="75" s="1"/>
  <c r="B60" i="3"/>
  <c r="C59" i="3"/>
  <c r="B54" i="75" s="1"/>
  <c r="B59" i="3"/>
  <c r="C58" i="3"/>
  <c r="B53" i="75" s="1"/>
  <c r="B58" i="3"/>
  <c r="C57" i="3"/>
  <c r="B52" i="75" s="1"/>
  <c r="B57" i="3"/>
  <c r="C56" i="3"/>
  <c r="B51" i="75" s="1"/>
  <c r="B56" i="3"/>
  <c r="C55" i="3"/>
  <c r="B50" i="75" s="1"/>
  <c r="B55" i="3"/>
  <c r="B54" i="3"/>
  <c r="C62" i="3"/>
  <c r="B57" i="75" s="1"/>
  <c r="B62" i="3"/>
  <c r="C61" i="3"/>
  <c r="B56" i="75" s="1"/>
  <c r="B61" i="3"/>
  <c r="AW71" i="1"/>
  <c r="AW65" i="1"/>
  <c r="AW47" i="1"/>
  <c r="AW36" i="1"/>
  <c r="AW30" i="1"/>
  <c r="AW24" i="1"/>
  <c r="AW17" i="1"/>
  <c r="BA10" i="1" l="1"/>
  <c r="A68" i="69"/>
  <c r="AU11" i="76"/>
  <c r="AW72" i="1"/>
  <c r="AW74" i="1" s="1"/>
  <c r="AW81" i="1" s="1"/>
  <c r="I65" i="69" s="1"/>
  <c r="L65" i="69" s="1"/>
  <c r="AW48" i="1"/>
  <c r="AW50" i="1" s="1"/>
  <c r="AW53" i="1" s="1"/>
  <c r="AR54" i="76" s="1"/>
  <c r="A69" i="69" l="1"/>
  <c r="AV11" i="76"/>
  <c r="BB10" i="1"/>
  <c r="E54" i="3"/>
  <c r="F49" i="75" l="1"/>
  <c r="G49" i="75" s="1"/>
  <c r="BC10" i="1"/>
  <c r="A70" i="69"/>
  <c r="AW11" i="76"/>
  <c r="H1048576" i="82"/>
  <c r="AJ84" i="82"/>
  <c r="J72" i="82"/>
  <c r="J66" i="82"/>
  <c r="J31" i="82"/>
  <c r="J25" i="82"/>
  <c r="A4" i="82"/>
  <c r="A3" i="82"/>
  <c r="A2" i="82"/>
  <c r="A1" i="82"/>
  <c r="BD10" i="1" l="1"/>
  <c r="A71" i="69"/>
  <c r="AX11" i="76"/>
  <c r="J73" i="82"/>
  <c r="J75" i="82" s="1"/>
  <c r="J81" i="82" s="1"/>
  <c r="BE10" i="1" l="1"/>
  <c r="A72" i="69"/>
  <c r="AY11" i="76"/>
  <c r="A61" i="3"/>
  <c r="A56" i="75" s="1"/>
  <c r="C43" i="3"/>
  <c r="B44" i="75" s="1"/>
  <c r="B43" i="3"/>
  <c r="C44" i="3"/>
  <c r="B45" i="75" s="1"/>
  <c r="B44" i="3"/>
  <c r="BE71" i="1"/>
  <c r="BE65" i="1"/>
  <c r="BE47" i="1"/>
  <c r="BE36" i="1"/>
  <c r="BE30" i="1"/>
  <c r="BE24" i="1"/>
  <c r="BE17" i="1"/>
  <c r="BC71" i="1"/>
  <c r="BC65" i="1"/>
  <c r="BC47" i="1"/>
  <c r="BC36" i="1"/>
  <c r="BC30" i="1"/>
  <c r="BC24" i="1"/>
  <c r="BC17" i="1"/>
  <c r="AZ71" i="1"/>
  <c r="BA71" i="1"/>
  <c r="AY71" i="1"/>
  <c r="AX71" i="1"/>
  <c r="AZ65" i="1"/>
  <c r="BA65" i="1"/>
  <c r="AY65" i="1"/>
  <c r="AX65" i="1"/>
  <c r="AZ47" i="1"/>
  <c r="BA47" i="1"/>
  <c r="AY47" i="1"/>
  <c r="AX47" i="1"/>
  <c r="BA36" i="1"/>
  <c r="AY36" i="1"/>
  <c r="AX36" i="1"/>
  <c r="AZ30" i="1"/>
  <c r="BA30" i="1"/>
  <c r="AY30" i="1"/>
  <c r="AX30" i="1"/>
  <c r="AZ24" i="1"/>
  <c r="BA24" i="1"/>
  <c r="AY24" i="1"/>
  <c r="AX24" i="1"/>
  <c r="AZ17" i="1"/>
  <c r="BA17" i="1"/>
  <c r="AY17" i="1"/>
  <c r="AX17" i="1"/>
  <c r="BD71" i="1"/>
  <c r="BD65" i="1"/>
  <c r="BD47" i="1"/>
  <c r="BD36" i="1"/>
  <c r="BD30" i="1"/>
  <c r="BD24" i="1"/>
  <c r="BD17" i="1"/>
  <c r="AQ10" i="1"/>
  <c r="AO11" i="76" s="1"/>
  <c r="AN71" i="1"/>
  <c r="AN65" i="1"/>
  <c r="AN47" i="1"/>
  <c r="AN36" i="1"/>
  <c r="AN30" i="1"/>
  <c r="AN24" i="1"/>
  <c r="AN17" i="1"/>
  <c r="AO71" i="1"/>
  <c r="AO65" i="1"/>
  <c r="AO47" i="1"/>
  <c r="AO36" i="1"/>
  <c r="AO30" i="1"/>
  <c r="AO24" i="1"/>
  <c r="AO17" i="1"/>
  <c r="A73" i="69" l="1"/>
  <c r="AZ11" i="76"/>
  <c r="AZ48" i="1"/>
  <c r="AZ50" i="1" s="1"/>
  <c r="AZ53" i="1" s="1"/>
  <c r="AU54" i="76" s="1"/>
  <c r="AR10" i="1"/>
  <c r="A62" i="3"/>
  <c r="A57" i="75" s="1"/>
  <c r="E59" i="3"/>
  <c r="BC72" i="1"/>
  <c r="BC74" i="1" s="1"/>
  <c r="BC81" i="1" s="1"/>
  <c r="I71" i="69" s="1"/>
  <c r="L71" i="69" s="1"/>
  <c r="AZ72" i="1"/>
  <c r="AZ74" i="1" s="1"/>
  <c r="AZ81" i="1" s="1"/>
  <c r="I68" i="69" s="1"/>
  <c r="L68" i="69" s="1"/>
  <c r="AN72" i="1"/>
  <c r="AN74" i="1" s="1"/>
  <c r="AN81" i="1" s="1"/>
  <c r="BD72" i="1"/>
  <c r="BD74" i="1" s="1"/>
  <c r="BD81" i="1" s="1"/>
  <c r="BE48" i="1"/>
  <c r="BE50" i="1" s="1"/>
  <c r="BE53" i="1" s="1"/>
  <c r="AZ54" i="76" s="1"/>
  <c r="BE72" i="1"/>
  <c r="BE74" i="1" s="1"/>
  <c r="BE81" i="1" s="1"/>
  <c r="I73" i="69" s="1"/>
  <c r="L73" i="69" s="1"/>
  <c r="BA72" i="1"/>
  <c r="BA74" i="1" s="1"/>
  <c r="BA81" i="1" s="1"/>
  <c r="I69" i="69" s="1"/>
  <c r="L69" i="69" s="1"/>
  <c r="AX72" i="1"/>
  <c r="AX74" i="1" s="1"/>
  <c r="AX81" i="1" s="1"/>
  <c r="I66" i="69" s="1"/>
  <c r="L66" i="69" s="1"/>
  <c r="BA48" i="1"/>
  <c r="BA50" i="1" s="1"/>
  <c r="BC48" i="1"/>
  <c r="BC50" i="1" s="1"/>
  <c r="AX48" i="1"/>
  <c r="AX50" i="1" s="1"/>
  <c r="AY48" i="1"/>
  <c r="AY50" i="1" s="1"/>
  <c r="AY53" i="1" s="1"/>
  <c r="AT54" i="76" s="1"/>
  <c r="AY72" i="1"/>
  <c r="AY74" i="1" s="1"/>
  <c r="AY81" i="1" s="1"/>
  <c r="I67" i="69" s="1"/>
  <c r="L67" i="69" s="1"/>
  <c r="AO48" i="1"/>
  <c r="AO50" i="1" s="1"/>
  <c r="AO53" i="1" s="1"/>
  <c r="AM54" i="76" s="1"/>
  <c r="AO72" i="1"/>
  <c r="AO74" i="1" s="1"/>
  <c r="AO81" i="1" s="1"/>
  <c r="BD48" i="1"/>
  <c r="BD50" i="1" s="1"/>
  <c r="BD53" i="1" s="1"/>
  <c r="AY54" i="76" s="1"/>
  <c r="AN48" i="1"/>
  <c r="AN50" i="1" s="1"/>
  <c r="AN53" i="1" s="1"/>
  <c r="AL54" i="76" s="1"/>
  <c r="E44" i="3" l="1"/>
  <c r="I50" i="69"/>
  <c r="L50" i="69" s="1"/>
  <c r="I72" i="69"/>
  <c r="L72" i="69" s="1"/>
  <c r="BC93" i="1"/>
  <c r="F54" i="75"/>
  <c r="G54" i="75" s="1"/>
  <c r="A53" i="3"/>
  <c r="A58" i="75" s="1"/>
  <c r="A64" i="69"/>
  <c r="AQ11" i="76"/>
  <c r="E43" i="3"/>
  <c r="I49" i="69"/>
  <c r="L49" i="69" s="1"/>
  <c r="AS10" i="1"/>
  <c r="AP11" i="76"/>
  <c r="E56" i="3"/>
  <c r="E58" i="3"/>
  <c r="E57" i="3"/>
  <c r="A54" i="3"/>
  <c r="A49" i="75" s="1"/>
  <c r="AC10" i="1"/>
  <c r="AA11" i="76" s="1"/>
  <c r="E55" i="3"/>
  <c r="E60" i="3"/>
  <c r="E61" i="3"/>
  <c r="E62" i="3"/>
  <c r="BC53" i="1"/>
  <c r="AX54" i="76" s="1"/>
  <c r="AX53" i="1"/>
  <c r="AS54" i="76" s="1"/>
  <c r="BA53" i="1"/>
  <c r="AV54" i="76" s="1"/>
  <c r="F50" i="75" l="1"/>
  <c r="G50" i="75" s="1"/>
  <c r="F53" i="75"/>
  <c r="G53" i="75" s="1"/>
  <c r="F51" i="75"/>
  <c r="G51" i="75" s="1"/>
  <c r="F57" i="75"/>
  <c r="G57" i="75" s="1"/>
  <c r="L74" i="69"/>
  <c r="F45" i="75"/>
  <c r="G45" i="75" s="1"/>
  <c r="F56" i="75"/>
  <c r="G56" i="75" s="1"/>
  <c r="F55" i="75"/>
  <c r="G55" i="75" s="1"/>
  <c r="F52" i="75"/>
  <c r="G52" i="75" s="1"/>
  <c r="F44" i="75"/>
  <c r="G44" i="75" s="1"/>
  <c r="AD10" i="1"/>
  <c r="A55" i="3"/>
  <c r="A50" i="75" s="1"/>
  <c r="F44" i="5"/>
  <c r="F46" i="5"/>
  <c r="F47" i="5"/>
  <c r="F35" i="5"/>
  <c r="F28" i="5"/>
  <c r="F23" i="5"/>
  <c r="F78" i="5"/>
  <c r="E78" i="5" s="1"/>
  <c r="F76" i="5"/>
  <c r="F69" i="5"/>
  <c r="G78" i="5"/>
  <c r="G79" i="5"/>
  <c r="E79" i="5"/>
  <c r="F79" i="5"/>
  <c r="F310" i="5"/>
  <c r="F311" i="5"/>
  <c r="F312" i="5"/>
  <c r="F313" i="5"/>
  <c r="F314" i="5"/>
  <c r="F315" i="5"/>
  <c r="F316" i="5"/>
  <c r="F317" i="5"/>
  <c r="F318" i="5"/>
  <c r="F196" i="5"/>
  <c r="F197" i="5"/>
  <c r="F198" i="5"/>
  <c r="F199" i="5"/>
  <c r="F200" i="5"/>
  <c r="F201" i="5"/>
  <c r="F202" i="5"/>
  <c r="F203" i="5"/>
  <c r="F204" i="5"/>
  <c r="F205" i="5"/>
  <c r="F206" i="5"/>
  <c r="AF10" i="1" l="1"/>
  <c r="AB11" i="76"/>
  <c r="A56" i="3"/>
  <c r="A51" i="75" s="1"/>
  <c r="AG10" i="1" l="1"/>
  <c r="AD11" i="76"/>
  <c r="A57" i="3"/>
  <c r="A52" i="75" s="1"/>
  <c r="E17" i="56"/>
  <c r="E12" i="56"/>
  <c r="E29" i="81"/>
  <c r="AH10" i="1" l="1"/>
  <c r="AE11" i="76"/>
  <c r="A58" i="3"/>
  <c r="A53" i="75" s="1"/>
  <c r="C40" i="81"/>
  <c r="D40" i="81" s="1"/>
  <c r="E9" i="81"/>
  <c r="E15" i="56" s="1"/>
  <c r="E41" i="81"/>
  <c r="E13" i="81" s="1"/>
  <c r="E19" i="56" s="1"/>
  <c r="S35" i="1" s="1"/>
  <c r="AI10" i="1" l="1"/>
  <c r="AF11" i="76"/>
  <c r="A59" i="3"/>
  <c r="A54" i="75" s="1"/>
  <c r="E16" i="81"/>
  <c r="E18" i="81" s="1"/>
  <c r="E20" i="81" s="1"/>
  <c r="E25" i="56" s="1"/>
  <c r="AJ10" i="1" l="1"/>
  <c r="AG11" i="76"/>
  <c r="A60" i="3"/>
  <c r="A55" i="75" s="1"/>
  <c r="E22" i="81"/>
  <c r="A39" i="3" l="1"/>
  <c r="A40" i="75" s="1"/>
  <c r="A45" i="69"/>
  <c r="AH11" i="76"/>
  <c r="H1048576" i="79"/>
  <c r="AK84" i="79"/>
  <c r="K72" i="79"/>
  <c r="K66" i="79"/>
  <c r="K31" i="79"/>
  <c r="K25" i="79"/>
  <c r="A4" i="79"/>
  <c r="A3" i="79"/>
  <c r="A2" i="79"/>
  <c r="A1" i="79"/>
  <c r="K73" i="79" l="1"/>
  <c r="K75" i="79" s="1"/>
  <c r="K81" i="79" s="1"/>
  <c r="B39" i="69" l="1"/>
  <c r="B53" i="69"/>
  <c r="B52" i="69"/>
  <c r="B38" i="69"/>
  <c r="B37" i="69"/>
  <c r="C32" i="3" l="1"/>
  <c r="B33" i="75" s="1"/>
  <c r="B32" i="3"/>
  <c r="AC71" i="1"/>
  <c r="AC65" i="1"/>
  <c r="AC47" i="1"/>
  <c r="AC36" i="1"/>
  <c r="AC30" i="1"/>
  <c r="AC24" i="1"/>
  <c r="AC17" i="1"/>
  <c r="AC72" i="1" l="1"/>
  <c r="AC74" i="1" s="1"/>
  <c r="AC81" i="1" s="1"/>
  <c r="I38" i="69" s="1"/>
  <c r="L38" i="69" s="1"/>
  <c r="AC48" i="1"/>
  <c r="AC50" i="1" s="1"/>
  <c r="AC53" i="1" s="1"/>
  <c r="AA54" i="76" s="1"/>
  <c r="C31" i="3"/>
  <c r="B32" i="75" s="1"/>
  <c r="B31" i="3"/>
  <c r="AB71" i="1"/>
  <c r="AB65" i="1"/>
  <c r="AB47" i="1"/>
  <c r="AB36" i="1"/>
  <c r="AB30" i="1"/>
  <c r="AB24" i="1"/>
  <c r="AB17" i="1"/>
  <c r="E32" i="3" l="1"/>
  <c r="A37" i="69"/>
  <c r="AB72" i="1"/>
  <c r="AB74" i="1" s="1"/>
  <c r="AB81" i="1" s="1"/>
  <c r="A31" i="3"/>
  <c r="A32" i="75" s="1"/>
  <c r="A32" i="3"/>
  <c r="A33" i="75" s="1"/>
  <c r="AB48" i="1"/>
  <c r="AB50" i="1" s="1"/>
  <c r="AB53" i="1" s="1"/>
  <c r="Z54" i="76" s="1"/>
  <c r="F33" i="75" l="1"/>
  <c r="G33" i="75" s="1"/>
  <c r="A38" i="69"/>
  <c r="E31" i="3"/>
  <c r="I37" i="69"/>
  <c r="L37" i="69" s="1"/>
  <c r="F32" i="75" l="1"/>
  <c r="G32" i="75" s="1"/>
  <c r="C33" i="3"/>
  <c r="B34" i="75" s="1"/>
  <c r="C47" i="3"/>
  <c r="B48" i="75" s="1"/>
  <c r="C46" i="3"/>
  <c r="B47" i="75" s="1"/>
  <c r="B33" i="3"/>
  <c r="B47" i="3"/>
  <c r="B46" i="3"/>
  <c r="AD71" i="1"/>
  <c r="AD65" i="1"/>
  <c r="AD47" i="1"/>
  <c r="AD36" i="1"/>
  <c r="AD30" i="1"/>
  <c r="AD24" i="1"/>
  <c r="AD17" i="1"/>
  <c r="AR71" i="1"/>
  <c r="AR65" i="1"/>
  <c r="AR47" i="1"/>
  <c r="AR36" i="1"/>
  <c r="AR30" i="1"/>
  <c r="AR24" i="1"/>
  <c r="AR17" i="1"/>
  <c r="AQ71" i="1"/>
  <c r="AQ65" i="1"/>
  <c r="AQ47" i="1"/>
  <c r="AQ36" i="1"/>
  <c r="AQ30" i="1"/>
  <c r="AQ24" i="1"/>
  <c r="AQ17" i="1"/>
  <c r="AE71" i="1"/>
  <c r="AE65" i="1"/>
  <c r="AE47" i="1"/>
  <c r="AE36" i="1"/>
  <c r="AE30" i="1"/>
  <c r="AE24" i="1"/>
  <c r="AE17" i="1"/>
  <c r="F324" i="5"/>
  <c r="F323" i="5"/>
  <c r="F322" i="5"/>
  <c r="F321" i="5"/>
  <c r="F320" i="5"/>
  <c r="F319" i="5"/>
  <c r="F309" i="5"/>
  <c r="F308" i="5"/>
  <c r="F307" i="5"/>
  <c r="F304" i="5"/>
  <c r="F303" i="5"/>
  <c r="F302" i="5"/>
  <c r="F74" i="5" s="1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70" i="5" s="1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64" i="5" s="1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63" i="5" s="1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28" i="5"/>
  <c r="F227" i="5"/>
  <c r="F57" i="5" s="1"/>
  <c r="F226" i="5"/>
  <c r="F56" i="5" s="1"/>
  <c r="F225" i="5"/>
  <c r="F54" i="5" s="1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41" i="5" s="1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36" i="5" s="1"/>
  <c r="F152" i="5"/>
  <c r="F151" i="5"/>
  <c r="F150" i="5"/>
  <c r="F34" i="5" s="1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30" i="5" s="1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22" i="5" s="1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15" i="5" s="1"/>
  <c r="F93" i="5"/>
  <c r="F92" i="5"/>
  <c r="F91" i="5"/>
  <c r="F90" i="5"/>
  <c r="F89" i="5"/>
  <c r="F88" i="5"/>
  <c r="G77" i="5"/>
  <c r="E77" i="5" s="1"/>
  <c r="G76" i="5"/>
  <c r="G74" i="5"/>
  <c r="G71" i="5"/>
  <c r="G70" i="5"/>
  <c r="G69" i="5"/>
  <c r="H68" i="5"/>
  <c r="G65" i="5"/>
  <c r="G64" i="5"/>
  <c r="G63" i="5"/>
  <c r="G57" i="5"/>
  <c r="G56" i="5"/>
  <c r="G54" i="5"/>
  <c r="E47" i="5"/>
  <c r="H47" i="5" s="1"/>
  <c r="G46" i="5"/>
  <c r="G45" i="5"/>
  <c r="G44" i="5"/>
  <c r="G41" i="5"/>
  <c r="G40" i="5"/>
  <c r="F40" i="5"/>
  <c r="G39" i="5"/>
  <c r="F39" i="5"/>
  <c r="G36" i="5"/>
  <c r="G35" i="5"/>
  <c r="G34" i="5"/>
  <c r="G30" i="5"/>
  <c r="G29" i="5"/>
  <c r="G28" i="5"/>
  <c r="G24" i="5"/>
  <c r="G23" i="5"/>
  <c r="G22" i="5"/>
  <c r="H21" i="5"/>
  <c r="G17" i="5"/>
  <c r="G16" i="5"/>
  <c r="G15" i="5"/>
  <c r="F29" i="5" l="1"/>
  <c r="E57" i="5"/>
  <c r="H57" i="5" s="1"/>
  <c r="F24" i="5"/>
  <c r="E24" i="5" s="1"/>
  <c r="H24" i="5" s="1"/>
  <c r="E76" i="5"/>
  <c r="H76" i="5" s="1"/>
  <c r="E35" i="5"/>
  <c r="H35" i="5" s="1"/>
  <c r="AQ72" i="1"/>
  <c r="AQ74" i="1" s="1"/>
  <c r="AQ81" i="1" s="1"/>
  <c r="E23" i="5"/>
  <c r="H23" i="5" s="1"/>
  <c r="E69" i="5"/>
  <c r="H69" i="5" s="1"/>
  <c r="E70" i="5"/>
  <c r="H70" i="5" s="1"/>
  <c r="F17" i="5"/>
  <c r="E17" i="5" s="1"/>
  <c r="H17" i="5" s="1"/>
  <c r="G48" i="5"/>
  <c r="E30" i="5"/>
  <c r="H30" i="5" s="1"/>
  <c r="F45" i="5"/>
  <c r="E45" i="5" s="1"/>
  <c r="H45" i="5" s="1"/>
  <c r="E56" i="5"/>
  <c r="H56" i="5" s="1"/>
  <c r="E74" i="5"/>
  <c r="H74" i="5" s="1"/>
  <c r="F31" i="5"/>
  <c r="F71" i="5"/>
  <c r="E71" i="5" s="1"/>
  <c r="H71" i="5" s="1"/>
  <c r="E39" i="5"/>
  <c r="H39" i="5" s="1"/>
  <c r="E41" i="5"/>
  <c r="H41" i="5" s="1"/>
  <c r="E54" i="5"/>
  <c r="H54" i="5" s="1"/>
  <c r="E64" i="5"/>
  <c r="H64" i="5" s="1"/>
  <c r="AD48" i="1"/>
  <c r="AD50" i="1" s="1"/>
  <c r="AD53" i="1" s="1"/>
  <c r="AB54" i="76" s="1"/>
  <c r="AD72" i="1"/>
  <c r="AD74" i="1" s="1"/>
  <c r="AD81" i="1" s="1"/>
  <c r="G37" i="5"/>
  <c r="E63" i="5"/>
  <c r="E46" i="5"/>
  <c r="H77" i="5"/>
  <c r="G25" i="5"/>
  <c r="F65" i="5"/>
  <c r="E65" i="5" s="1"/>
  <c r="H65" i="5" s="1"/>
  <c r="E29" i="5"/>
  <c r="H29" i="5" s="1"/>
  <c r="E36" i="5"/>
  <c r="H36" i="5" s="1"/>
  <c r="G66" i="5"/>
  <c r="G31" i="5"/>
  <c r="G18" i="5"/>
  <c r="E34" i="5"/>
  <c r="H34" i="5" s="1"/>
  <c r="E40" i="5"/>
  <c r="H40" i="5" s="1"/>
  <c r="G72" i="5"/>
  <c r="AE48" i="1"/>
  <c r="AE50" i="1" s="1"/>
  <c r="AE53" i="1" s="1"/>
  <c r="AC54" i="76" s="1"/>
  <c r="AE72" i="1"/>
  <c r="AE74" i="1" s="1"/>
  <c r="AE81" i="1" s="1"/>
  <c r="AR72" i="1"/>
  <c r="AR74" i="1" s="1"/>
  <c r="AR81" i="1" s="1"/>
  <c r="AR48" i="1"/>
  <c r="AR50" i="1" s="1"/>
  <c r="AR53" i="1" s="1"/>
  <c r="AP54" i="76" s="1"/>
  <c r="AQ48" i="1"/>
  <c r="AQ50" i="1" s="1"/>
  <c r="AQ53" i="1" s="1"/>
  <c r="AO54" i="76" s="1"/>
  <c r="E15" i="5"/>
  <c r="F37" i="5"/>
  <c r="F16" i="5"/>
  <c r="E16" i="5" s="1"/>
  <c r="H16" i="5" s="1"/>
  <c r="E22" i="5"/>
  <c r="E28" i="5"/>
  <c r="E44" i="5"/>
  <c r="E46" i="3" l="1"/>
  <c r="I52" i="69"/>
  <c r="L52" i="69" s="1"/>
  <c r="E47" i="3"/>
  <c r="I53" i="69"/>
  <c r="L53" i="69" s="1"/>
  <c r="E33" i="3"/>
  <c r="I39" i="69"/>
  <c r="L39" i="69" s="1"/>
  <c r="G49" i="5"/>
  <c r="G51" i="5" s="1"/>
  <c r="G59" i="5" s="1"/>
  <c r="E72" i="5"/>
  <c r="F25" i="5"/>
  <c r="F72" i="5"/>
  <c r="E66" i="5"/>
  <c r="F48" i="5"/>
  <c r="E37" i="5"/>
  <c r="H37" i="5" s="1"/>
  <c r="G73" i="5"/>
  <c r="G75" i="5" s="1"/>
  <c r="G82" i="5" s="1"/>
  <c r="F66" i="5"/>
  <c r="H63" i="5"/>
  <c r="H44" i="5"/>
  <c r="E48" i="5"/>
  <c r="E18" i="5"/>
  <c r="H15" i="5"/>
  <c r="E31" i="5"/>
  <c r="H31" i="5" s="1"/>
  <c r="H28" i="5"/>
  <c r="F18" i="5"/>
  <c r="H22" i="5"/>
  <c r="E25" i="5"/>
  <c r="F48" i="75" l="1"/>
  <c r="G48" i="75" s="1"/>
  <c r="F34" i="75"/>
  <c r="G34" i="75" s="1"/>
  <c r="F47" i="75"/>
  <c r="G47" i="75" s="1"/>
  <c r="F49" i="5"/>
  <c r="F51" i="5" s="1"/>
  <c r="F59" i="5" s="1"/>
  <c r="F84" i="5" s="1"/>
  <c r="E73" i="5"/>
  <c r="E75" i="5" s="1"/>
  <c r="E82" i="5" s="1"/>
  <c r="H72" i="5"/>
  <c r="F73" i="5"/>
  <c r="F75" i="5" s="1"/>
  <c r="F82" i="5" s="1"/>
  <c r="H66" i="5"/>
  <c r="H48" i="5"/>
  <c r="H25" i="5"/>
  <c r="E49" i="5"/>
  <c r="H49" i="5" s="1"/>
  <c r="H18" i="5"/>
  <c r="H82" i="5" l="1"/>
  <c r="E51" i="5"/>
  <c r="E59" i="5" s="1"/>
  <c r="H51" i="5" l="1"/>
  <c r="E84" i="5"/>
  <c r="H59" i="5"/>
  <c r="F16" i="69" l="1"/>
  <c r="F34" i="69" s="1"/>
  <c r="E16" i="69"/>
  <c r="E34" i="69" s="1"/>
  <c r="M11" i="55" l="1"/>
  <c r="O11" i="55" s="1"/>
  <c r="O13" i="55"/>
  <c r="W17" i="1"/>
  <c r="W24" i="1"/>
  <c r="W30" i="1"/>
  <c r="W36" i="1"/>
  <c r="W47" i="1"/>
  <c r="W65" i="1"/>
  <c r="W71" i="1"/>
  <c r="W72" i="1" l="1"/>
  <c r="W74" i="1" s="1"/>
  <c r="W81" i="1" s="1"/>
  <c r="W48" i="1"/>
  <c r="W50" i="1" s="1"/>
  <c r="W53" i="1" s="1"/>
  <c r="AL71" i="1" l="1"/>
  <c r="AL65" i="1"/>
  <c r="AL47" i="1"/>
  <c r="AL36" i="1"/>
  <c r="AL30" i="1"/>
  <c r="AL24" i="1"/>
  <c r="AL17" i="1"/>
  <c r="AL72" i="1" l="1"/>
  <c r="AL74" i="1" s="1"/>
  <c r="AL81" i="1" s="1"/>
  <c r="AL48" i="1"/>
  <c r="AL50" i="1" s="1"/>
  <c r="AL53" i="1" l="1"/>
  <c r="AJ54" i="76" s="1"/>
  <c r="W8" i="76" l="1"/>
  <c r="W9" i="76"/>
  <c r="W10" i="76"/>
  <c r="W12" i="76"/>
  <c r="W15" i="76"/>
  <c r="W16" i="76"/>
  <c r="W17" i="76"/>
  <c r="W22" i="76"/>
  <c r="W23" i="76"/>
  <c r="W24" i="76"/>
  <c r="W28" i="76"/>
  <c r="W29" i="76"/>
  <c r="W30" i="76"/>
  <c r="W34" i="76"/>
  <c r="W35" i="76"/>
  <c r="W36" i="76"/>
  <c r="W39" i="76"/>
  <c r="W40" i="76"/>
  <c r="W41" i="76"/>
  <c r="W44" i="76"/>
  <c r="W45" i="76"/>
  <c r="W46" i="76"/>
  <c r="W47" i="76"/>
  <c r="W56" i="76"/>
  <c r="W57" i="76"/>
  <c r="W63" i="76"/>
  <c r="W64" i="76"/>
  <c r="W65" i="76"/>
  <c r="W69" i="76"/>
  <c r="W70" i="76"/>
  <c r="W71" i="76"/>
  <c r="W74" i="76"/>
  <c r="W76" i="76"/>
  <c r="W77" i="76"/>
  <c r="W78" i="76"/>
  <c r="W79" i="76"/>
  <c r="W48" i="76" l="1"/>
  <c r="W18" i="76"/>
  <c r="W31" i="76"/>
  <c r="W37" i="76"/>
  <c r="W25" i="76"/>
  <c r="W66" i="76"/>
  <c r="W72" i="76"/>
  <c r="W73" i="76" l="1"/>
  <c r="W75" i="76" s="1"/>
  <c r="W82" i="76" s="1"/>
  <c r="W49" i="76"/>
  <c r="W51" i="76" s="1"/>
  <c r="E21" i="56" l="1"/>
  <c r="E23" i="56" s="1"/>
  <c r="E27" i="56" l="1"/>
  <c r="F21" i="55" s="1"/>
  <c r="G21" i="55" s="1"/>
  <c r="H21" i="55" s="1"/>
  <c r="M15" i="55"/>
  <c r="O15" i="55" l="1"/>
  <c r="Q12" i="55"/>
  <c r="X54" i="1" l="1"/>
  <c r="AV54" i="1"/>
  <c r="M55" i="83"/>
  <c r="M59" i="83" s="1"/>
  <c r="L55" i="83"/>
  <c r="BB54" i="1"/>
  <c r="AS54" i="1"/>
  <c r="AS58" i="1" s="1"/>
  <c r="O10" i="69"/>
  <c r="AJ54" i="1"/>
  <c r="AW54" i="1"/>
  <c r="AR55" i="76" s="1"/>
  <c r="AR59" i="76" s="1"/>
  <c r="AY54" i="1"/>
  <c r="AT55" i="76" s="1"/>
  <c r="AT59" i="76" s="1"/>
  <c r="BC54" i="1"/>
  <c r="AX55" i="76" s="1"/>
  <c r="AX59" i="76" s="1"/>
  <c r="BE54" i="1"/>
  <c r="AZ55" i="76" s="1"/>
  <c r="AZ59" i="76" s="1"/>
  <c r="AN54" i="1"/>
  <c r="AL55" i="76" s="1"/>
  <c r="AL59" i="76" s="1"/>
  <c r="AZ54" i="1"/>
  <c r="AU55" i="76" s="1"/>
  <c r="AU59" i="76" s="1"/>
  <c r="BA54" i="1"/>
  <c r="AV55" i="76" s="1"/>
  <c r="AV59" i="76" s="1"/>
  <c r="AX54" i="1"/>
  <c r="AS55" i="76" s="1"/>
  <c r="AS59" i="76" s="1"/>
  <c r="BD54" i="1"/>
  <c r="AY55" i="76" s="1"/>
  <c r="AY59" i="76" s="1"/>
  <c r="AO54" i="1"/>
  <c r="AM55" i="76" s="1"/>
  <c r="AM59" i="76" s="1"/>
  <c r="F13" i="55"/>
  <c r="AC54" i="1"/>
  <c r="AA55" i="76" s="1"/>
  <c r="AA59" i="76" s="1"/>
  <c r="AB54" i="1"/>
  <c r="Z55" i="76" s="1"/>
  <c r="Z59" i="76" s="1"/>
  <c r="AQ54" i="1"/>
  <c r="AO55" i="76" s="1"/>
  <c r="AO59" i="76" s="1"/>
  <c r="AE54" i="1"/>
  <c r="AC55" i="76" s="1"/>
  <c r="AC59" i="76" s="1"/>
  <c r="AD54" i="1"/>
  <c r="AB55" i="76" s="1"/>
  <c r="AB59" i="76" s="1"/>
  <c r="AR54" i="1"/>
  <c r="AP55" i="76" s="1"/>
  <c r="AP59" i="76" s="1"/>
  <c r="AL54" i="1"/>
  <c r="AJ55" i="76" s="1"/>
  <c r="AJ59" i="76" s="1"/>
  <c r="W54" i="1"/>
  <c r="W58" i="1" s="1"/>
  <c r="E86" i="1"/>
  <c r="C26" i="3"/>
  <c r="B29" i="75" s="1"/>
  <c r="B26" i="3"/>
  <c r="AV58" i="1" l="1"/>
  <c r="AQ55" i="76"/>
  <c r="AQ59" i="76" s="1"/>
  <c r="AJ58" i="1"/>
  <c r="AH55" i="76"/>
  <c r="AH59" i="76" s="1"/>
  <c r="BB58" i="1"/>
  <c r="H70" i="69" s="1"/>
  <c r="K70" i="69" s="1"/>
  <c r="AW55" i="76"/>
  <c r="AW59" i="76" s="1"/>
  <c r="X58" i="1"/>
  <c r="X55" i="76"/>
  <c r="X59" i="76" s="1"/>
  <c r="AV88" i="1"/>
  <c r="G13" i="55"/>
  <c r="J84" i="83"/>
  <c r="BB88" i="1"/>
  <c r="AS88" i="1"/>
  <c r="AJ88" i="1"/>
  <c r="AO58" i="1"/>
  <c r="BC58" i="1"/>
  <c r="AX58" i="1"/>
  <c r="AN58" i="1"/>
  <c r="AW58" i="1"/>
  <c r="D59" i="3"/>
  <c r="F59" i="3" s="1"/>
  <c r="BD58" i="1"/>
  <c r="AZ58" i="1"/>
  <c r="AY58" i="1"/>
  <c r="BA58" i="1"/>
  <c r="BE58" i="1"/>
  <c r="AL58" i="1"/>
  <c r="AL88" i="1" s="1"/>
  <c r="AE58" i="1"/>
  <c r="AE88" i="1" s="1"/>
  <c r="AB58" i="1"/>
  <c r="AC58" i="1"/>
  <c r="AD58" i="1"/>
  <c r="AR58" i="1"/>
  <c r="AQ58" i="1"/>
  <c r="B32" i="69"/>
  <c r="B30" i="69"/>
  <c r="D58" i="3" l="1"/>
  <c r="F58" i="3" s="1"/>
  <c r="H69" i="69"/>
  <c r="K69" i="69" s="1"/>
  <c r="D57" i="3"/>
  <c r="F57" i="3" s="1"/>
  <c r="H68" i="69"/>
  <c r="K68" i="69" s="1"/>
  <c r="D43" i="3"/>
  <c r="F43" i="3" s="1"/>
  <c r="H49" i="69"/>
  <c r="K49" i="69" s="1"/>
  <c r="D27" i="3"/>
  <c r="F27" i="3" s="1"/>
  <c r="H33" i="69"/>
  <c r="K33" i="69" s="1"/>
  <c r="D39" i="3"/>
  <c r="F39" i="3" s="1"/>
  <c r="H45" i="69"/>
  <c r="K45" i="69" s="1"/>
  <c r="D60" i="3"/>
  <c r="F60" i="3" s="1"/>
  <c r="H71" i="69"/>
  <c r="K71" i="69" s="1"/>
  <c r="D53" i="3"/>
  <c r="F53" i="3" s="1"/>
  <c r="H64" i="69"/>
  <c r="K64" i="69" s="1"/>
  <c r="D56" i="3"/>
  <c r="F56" i="3" s="1"/>
  <c r="H67" i="69"/>
  <c r="K67" i="69" s="1"/>
  <c r="D54" i="3"/>
  <c r="F54" i="3" s="1"/>
  <c r="H65" i="69"/>
  <c r="K65" i="69" s="1"/>
  <c r="D44" i="3"/>
  <c r="F44" i="3" s="1"/>
  <c r="H50" i="69"/>
  <c r="K50" i="69" s="1"/>
  <c r="D62" i="3"/>
  <c r="F62" i="3" s="1"/>
  <c r="H73" i="69"/>
  <c r="K73" i="69" s="1"/>
  <c r="D61" i="3"/>
  <c r="F61" i="3" s="1"/>
  <c r="H72" i="69"/>
  <c r="K72" i="69" s="1"/>
  <c r="D55" i="3"/>
  <c r="F55" i="3" s="1"/>
  <c r="H66" i="69"/>
  <c r="K66" i="69" s="1"/>
  <c r="X88" i="1"/>
  <c r="BE88" i="1"/>
  <c r="AO88" i="1"/>
  <c r="BD88" i="1"/>
  <c r="AZ88" i="1"/>
  <c r="BA88" i="1"/>
  <c r="AY88" i="1"/>
  <c r="AX88" i="1"/>
  <c r="AW88" i="1"/>
  <c r="AN88" i="1"/>
  <c r="BC88" i="1"/>
  <c r="D46" i="3"/>
  <c r="F46" i="3" s="1"/>
  <c r="H52" i="69"/>
  <c r="K52" i="69" s="1"/>
  <c r="D33" i="3"/>
  <c r="F33" i="3" s="1"/>
  <c r="H39" i="69"/>
  <c r="K39" i="69" s="1"/>
  <c r="D31" i="3"/>
  <c r="F31" i="3" s="1"/>
  <c r="H37" i="69"/>
  <c r="K37" i="69" s="1"/>
  <c r="D47" i="3"/>
  <c r="F47" i="3" s="1"/>
  <c r="H53" i="69"/>
  <c r="K53" i="69" s="1"/>
  <c r="D32" i="3"/>
  <c r="F32" i="3" s="1"/>
  <c r="H38" i="69"/>
  <c r="K38" i="69" s="1"/>
  <c r="AC88" i="1"/>
  <c r="AB88" i="1"/>
  <c r="AQ88" i="1"/>
  <c r="AD88" i="1"/>
  <c r="AR88" i="1"/>
  <c r="W55" i="76"/>
  <c r="W54" i="76"/>
  <c r="K74" i="69" l="1"/>
  <c r="W59" i="76"/>
  <c r="E26" i="3"/>
  <c r="I32" i="69"/>
  <c r="L32" i="69" s="1"/>
  <c r="F29" i="75" l="1"/>
  <c r="G29" i="75" s="1"/>
  <c r="AK71" i="1"/>
  <c r="AK65" i="1"/>
  <c r="AK47" i="1"/>
  <c r="AK36" i="1"/>
  <c r="AK30" i="1"/>
  <c r="AK24" i="1"/>
  <c r="AK17" i="1"/>
  <c r="AI71" i="1"/>
  <c r="AI65" i="1"/>
  <c r="AI47" i="1"/>
  <c r="AI36" i="1"/>
  <c r="AI30" i="1"/>
  <c r="AI24" i="1"/>
  <c r="AI17" i="1"/>
  <c r="AG71" i="1"/>
  <c r="AG65" i="1"/>
  <c r="AG72" i="1" s="1"/>
  <c r="AG74" i="1" s="1"/>
  <c r="AG81" i="1" s="1"/>
  <c r="AG54" i="1" s="1"/>
  <c r="AE55" i="76" s="1"/>
  <c r="AG47" i="1"/>
  <c r="AG36" i="1"/>
  <c r="AG30" i="1"/>
  <c r="AG24" i="1"/>
  <c r="AG17" i="1"/>
  <c r="AI72" i="1" l="1"/>
  <c r="AI74" i="1" s="1"/>
  <c r="AI81" i="1" s="1"/>
  <c r="AI54" i="1" s="1"/>
  <c r="AG55" i="76" s="1"/>
  <c r="AK72" i="1"/>
  <c r="AK74" i="1" s="1"/>
  <c r="AK81" i="1" s="1"/>
  <c r="AK54" i="1" s="1"/>
  <c r="AI55" i="76" s="1"/>
  <c r="AG48" i="1"/>
  <c r="AG50" i="1" s="1"/>
  <c r="AG53" i="1" s="1"/>
  <c r="AE54" i="76" s="1"/>
  <c r="AE59" i="76" s="1"/>
  <c r="AK48" i="1"/>
  <c r="AK50" i="1" s="1"/>
  <c r="AK53" i="1" s="1"/>
  <c r="AI54" i="76" s="1"/>
  <c r="AI59" i="76" s="1"/>
  <c r="AI48" i="1"/>
  <c r="AI50" i="1" s="1"/>
  <c r="AI53" i="1" s="1"/>
  <c r="AG54" i="76" s="1"/>
  <c r="AG59" i="76" s="1"/>
  <c r="AG58" i="1" l="1"/>
  <c r="AI58" i="1"/>
  <c r="AK58" i="1"/>
  <c r="U8" i="76" l="1"/>
  <c r="U9" i="76"/>
  <c r="U12" i="76"/>
  <c r="U15" i="76"/>
  <c r="U16" i="76"/>
  <c r="U17" i="76"/>
  <c r="U22" i="76"/>
  <c r="U23" i="76"/>
  <c r="U24" i="76"/>
  <c r="U28" i="76"/>
  <c r="U29" i="76"/>
  <c r="U30" i="76"/>
  <c r="U34" i="76"/>
  <c r="U35" i="76"/>
  <c r="U36" i="76"/>
  <c r="U39" i="76"/>
  <c r="U40" i="76"/>
  <c r="U41" i="76"/>
  <c r="U44" i="76"/>
  <c r="U45" i="76"/>
  <c r="U46" i="76"/>
  <c r="U47" i="76"/>
  <c r="U56" i="76"/>
  <c r="U57" i="76"/>
  <c r="U63" i="76"/>
  <c r="U64" i="76"/>
  <c r="U65" i="76"/>
  <c r="U69" i="76"/>
  <c r="U70" i="76"/>
  <c r="U71" i="76"/>
  <c r="U74" i="76"/>
  <c r="U76" i="76"/>
  <c r="U77" i="76"/>
  <c r="U78" i="76"/>
  <c r="U79" i="76"/>
  <c r="C24" i="3"/>
  <c r="B27" i="75" s="1"/>
  <c r="B24" i="3"/>
  <c r="U71" i="1"/>
  <c r="U65" i="1"/>
  <c r="U47" i="1"/>
  <c r="U36" i="1"/>
  <c r="U30" i="1"/>
  <c r="U24" i="1"/>
  <c r="U17" i="1"/>
  <c r="U72" i="1" l="1"/>
  <c r="U74" i="1" s="1"/>
  <c r="U81" i="1" s="1"/>
  <c r="U54" i="1" s="1"/>
  <c r="U48" i="1"/>
  <c r="U50" i="1" s="1"/>
  <c r="U53" i="1" s="1"/>
  <c r="U66" i="76"/>
  <c r="U25" i="76"/>
  <c r="U72" i="76"/>
  <c r="U31" i="76"/>
  <c r="U37" i="76"/>
  <c r="U48" i="76"/>
  <c r="U18" i="76"/>
  <c r="E24" i="3" l="1"/>
  <c r="I30" i="69"/>
  <c r="L30" i="69" s="1"/>
  <c r="U54" i="76"/>
  <c r="U73" i="76"/>
  <c r="U75" i="76" s="1"/>
  <c r="U82" i="76" s="1"/>
  <c r="U49" i="76"/>
  <c r="U51" i="76" s="1"/>
  <c r="F27" i="75" l="1"/>
  <c r="G27" i="75" s="1"/>
  <c r="A3" i="76"/>
  <c r="T79" i="76" l="1"/>
  <c r="T78" i="76"/>
  <c r="T77" i="76"/>
  <c r="T76" i="76"/>
  <c r="T74" i="76"/>
  <c r="T71" i="76"/>
  <c r="T70" i="76"/>
  <c r="T69" i="76"/>
  <c r="T65" i="76"/>
  <c r="T64" i="76"/>
  <c r="T63" i="76"/>
  <c r="T57" i="76"/>
  <c r="T56" i="76"/>
  <c r="T47" i="76"/>
  <c r="T46" i="76"/>
  <c r="T45" i="76"/>
  <c r="T44" i="76"/>
  <c r="T41" i="76"/>
  <c r="T40" i="76"/>
  <c r="T39" i="76"/>
  <c r="T36" i="76"/>
  <c r="T35" i="76"/>
  <c r="T34" i="76"/>
  <c r="T30" i="76"/>
  <c r="T29" i="76"/>
  <c r="T28" i="76"/>
  <c r="T24" i="76"/>
  <c r="T23" i="76"/>
  <c r="T22" i="76"/>
  <c r="T17" i="76"/>
  <c r="T16" i="76"/>
  <c r="T15" i="76"/>
  <c r="T12" i="76"/>
  <c r="T10" i="76"/>
  <c r="T9" i="76"/>
  <c r="T8" i="76"/>
  <c r="T25" i="76" l="1"/>
  <c r="T66" i="76"/>
  <c r="T18" i="76"/>
  <c r="T37" i="76"/>
  <c r="T31" i="76"/>
  <c r="T48" i="76"/>
  <c r="T72" i="76"/>
  <c r="B41" i="69"/>
  <c r="C35" i="3"/>
  <c r="B36" i="75" s="1"/>
  <c r="B35" i="3"/>
  <c r="AF71" i="1"/>
  <c r="AF65" i="1"/>
  <c r="AF47" i="1"/>
  <c r="AF36" i="1"/>
  <c r="AF30" i="1"/>
  <c r="AF24" i="1"/>
  <c r="AF17" i="1"/>
  <c r="T49" i="76" l="1"/>
  <c r="T51" i="76" s="1"/>
  <c r="T73" i="76"/>
  <c r="T75" i="76" s="1"/>
  <c r="T82" i="76" s="1"/>
  <c r="AF72" i="1"/>
  <c r="AF74" i="1" s="1"/>
  <c r="AF81" i="1" s="1"/>
  <c r="AF54" i="1" s="1"/>
  <c r="AD55" i="76" s="1"/>
  <c r="AF48" i="1"/>
  <c r="AF50" i="1" s="1"/>
  <c r="AF53" i="1" l="1"/>
  <c r="AD54" i="76" s="1"/>
  <c r="AD59" i="76" s="1"/>
  <c r="E35" i="3"/>
  <c r="I41" i="69"/>
  <c r="L41" i="69" s="1"/>
  <c r="F36" i="75" l="1"/>
  <c r="G36" i="75" s="1"/>
  <c r="R38" i="1"/>
  <c r="R43" i="1"/>
  <c r="AH47" i="1" l="1"/>
  <c r="B48" i="69" l="1"/>
  <c r="C42" i="3" l="1"/>
  <c r="B43" i="75" s="1"/>
  <c r="B42" i="3"/>
  <c r="AM71" i="1"/>
  <c r="AM65" i="1"/>
  <c r="AM47" i="1"/>
  <c r="AM36" i="1"/>
  <c r="AM30" i="1"/>
  <c r="AM24" i="1"/>
  <c r="AM17" i="1"/>
  <c r="AM72" i="1" l="1"/>
  <c r="AM74" i="1" s="1"/>
  <c r="AM81" i="1" s="1"/>
  <c r="AM54" i="1" s="1"/>
  <c r="AK55" i="76" s="1"/>
  <c r="AM48" i="1"/>
  <c r="AM50" i="1" s="1"/>
  <c r="AM53" i="1" l="1"/>
  <c r="AK54" i="76" s="1"/>
  <c r="AK59" i="76" s="1"/>
  <c r="I48" i="69"/>
  <c r="L48" i="69" s="1"/>
  <c r="E42" i="3"/>
  <c r="F43" i="75" l="1"/>
  <c r="G43" i="75" s="1"/>
  <c r="AH36" i="1"/>
  <c r="Q35" i="76" l="1"/>
  <c r="AA43" i="1"/>
  <c r="AA38" i="1"/>
  <c r="AA35" i="1"/>
  <c r="S38" i="1"/>
  <c r="R35" i="1"/>
  <c r="M17" i="1"/>
  <c r="M24" i="1"/>
  <c r="M30" i="1"/>
  <c r="M36" i="1"/>
  <c r="M47" i="1"/>
  <c r="M65" i="1"/>
  <c r="M71" i="1"/>
  <c r="M48" i="1" l="1"/>
  <c r="M50" i="1" s="1"/>
  <c r="M53" i="1" s="1"/>
  <c r="M72" i="1"/>
  <c r="M74" i="1" s="1"/>
  <c r="M81" i="1" s="1"/>
  <c r="M54" i="1" s="1"/>
  <c r="B54" i="69"/>
  <c r="B40" i="69"/>
  <c r="B28" i="69"/>
  <c r="C48" i="3"/>
  <c r="C34" i="3"/>
  <c r="B35" i="75" s="1"/>
  <c r="B48" i="3"/>
  <c r="B34" i="3"/>
  <c r="C30" i="3"/>
  <c r="B31" i="75" s="1"/>
  <c r="B30" i="3"/>
  <c r="C22" i="3"/>
  <c r="B25" i="75" s="1"/>
  <c r="B22" i="3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S18" i="76" l="1"/>
  <c r="S48" i="76"/>
  <c r="S37" i="76"/>
  <c r="S66" i="76"/>
  <c r="S72" i="76"/>
  <c r="S25" i="76"/>
  <c r="S31" i="76"/>
  <c r="S71" i="1"/>
  <c r="S65" i="1"/>
  <c r="S47" i="1"/>
  <c r="S36" i="1"/>
  <c r="S30" i="1"/>
  <c r="S24" i="1"/>
  <c r="S17" i="1"/>
  <c r="I40" i="69" l="1"/>
  <c r="L40" i="69" s="1"/>
  <c r="E34" i="3"/>
  <c r="S72" i="1"/>
  <c r="S74" i="1" s="1"/>
  <c r="S81" i="1" s="1"/>
  <c r="S54" i="1" s="1"/>
  <c r="S73" i="76"/>
  <c r="S75" i="76" s="1"/>
  <c r="S82" i="76" s="1"/>
  <c r="S49" i="76"/>
  <c r="S51" i="76" s="1"/>
  <c r="S48" i="1"/>
  <c r="S50" i="1" s="1"/>
  <c r="S53" i="1" s="1"/>
  <c r="F35" i="75" l="1"/>
  <c r="G35" i="75" s="1"/>
  <c r="E22" i="3"/>
  <c r="I28" i="69"/>
  <c r="L28" i="69" s="1"/>
  <c r="S54" i="76"/>
  <c r="F25" i="75" l="1"/>
  <c r="G25" i="75" s="1"/>
  <c r="B36" i="69"/>
  <c r="Y10" i="76"/>
  <c r="Y8" i="76"/>
  <c r="Y9" i="76"/>
  <c r="Y12" i="76"/>
  <c r="Y15" i="76"/>
  <c r="Y16" i="76"/>
  <c r="Y17" i="76"/>
  <c r="Y22" i="76"/>
  <c r="Y23" i="76"/>
  <c r="Y24" i="76"/>
  <c r="Y28" i="76"/>
  <c r="Y29" i="76"/>
  <c r="Y30" i="76"/>
  <c r="Y34" i="76"/>
  <c r="Y35" i="76"/>
  <c r="Y36" i="76"/>
  <c r="Y39" i="76"/>
  <c r="Y40" i="76"/>
  <c r="Y41" i="76"/>
  <c r="Y44" i="76"/>
  <c r="Y45" i="76"/>
  <c r="Y46" i="76"/>
  <c r="Y47" i="76"/>
  <c r="Y56" i="76"/>
  <c r="Y57" i="76"/>
  <c r="Y63" i="76"/>
  <c r="Y64" i="76"/>
  <c r="Y65" i="76"/>
  <c r="Y69" i="76"/>
  <c r="Y70" i="76"/>
  <c r="Y71" i="76"/>
  <c r="Y74" i="76"/>
  <c r="Y76" i="76"/>
  <c r="Y77" i="76"/>
  <c r="Y78" i="76"/>
  <c r="Y79" i="76"/>
  <c r="AA71" i="1"/>
  <c r="AA65" i="1"/>
  <c r="AA47" i="1"/>
  <c r="AA36" i="1"/>
  <c r="AA30" i="1"/>
  <c r="AA24" i="1"/>
  <c r="AA17" i="1"/>
  <c r="AA72" i="1" l="1"/>
  <c r="AA74" i="1" s="1"/>
  <c r="AA81" i="1" s="1"/>
  <c r="Y25" i="76"/>
  <c r="Y18" i="76"/>
  <c r="Y31" i="76"/>
  <c r="Y72" i="76"/>
  <c r="Y37" i="76"/>
  <c r="Y66" i="76"/>
  <c r="Y48" i="76"/>
  <c r="AA48" i="1"/>
  <c r="AA50" i="1" s="1"/>
  <c r="AA53" i="1" s="1"/>
  <c r="E30" i="3" l="1"/>
  <c r="AA54" i="1"/>
  <c r="Y54" i="76"/>
  <c r="I36" i="69"/>
  <c r="Y73" i="76"/>
  <c r="Y75" i="76" s="1"/>
  <c r="Y82" i="76" s="1"/>
  <c r="Y49" i="76"/>
  <c r="Y51" i="76" s="1"/>
  <c r="B46" i="69"/>
  <c r="C40" i="3"/>
  <c r="B41" i="75" s="1"/>
  <c r="B40" i="3"/>
  <c r="F31" i="75" l="1"/>
  <c r="G31" i="75" s="1"/>
  <c r="G8" i="76"/>
  <c r="H8" i="76"/>
  <c r="I8" i="76"/>
  <c r="J8" i="76"/>
  <c r="K8" i="76"/>
  <c r="L8" i="76"/>
  <c r="M8" i="76"/>
  <c r="N8" i="76"/>
  <c r="O8" i="76"/>
  <c r="P8" i="76"/>
  <c r="Q8" i="76"/>
  <c r="R8" i="76"/>
  <c r="V8" i="76"/>
  <c r="G9" i="76"/>
  <c r="H9" i="76"/>
  <c r="I9" i="76"/>
  <c r="J9" i="76"/>
  <c r="K9" i="76"/>
  <c r="L9" i="76"/>
  <c r="M9" i="76"/>
  <c r="N9" i="76"/>
  <c r="O9" i="76"/>
  <c r="P9" i="76"/>
  <c r="Q9" i="76"/>
  <c r="R9" i="76"/>
  <c r="V9" i="76"/>
  <c r="G10" i="76"/>
  <c r="I10" i="76"/>
  <c r="J10" i="76"/>
  <c r="M10" i="76"/>
  <c r="N10" i="76"/>
  <c r="O10" i="76"/>
  <c r="P10" i="76"/>
  <c r="R10" i="76"/>
  <c r="V10" i="76"/>
  <c r="I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V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V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V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V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V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V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V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V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V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V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V34" i="76"/>
  <c r="G35" i="76"/>
  <c r="H35" i="76"/>
  <c r="I35" i="76"/>
  <c r="J35" i="76"/>
  <c r="K35" i="76"/>
  <c r="L35" i="76"/>
  <c r="M35" i="76"/>
  <c r="N35" i="76"/>
  <c r="O35" i="76"/>
  <c r="P35" i="76"/>
  <c r="R35" i="76"/>
  <c r="V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V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V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V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V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V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V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V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V47" i="76"/>
  <c r="N54" i="76"/>
  <c r="N55" i="76"/>
  <c r="V55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V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V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V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V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V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V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V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V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V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V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V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V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V79" i="76"/>
  <c r="G66" i="76" l="1"/>
  <c r="O18" i="76"/>
  <c r="I18" i="76"/>
  <c r="J72" i="76"/>
  <c r="N66" i="76"/>
  <c r="G18" i="76"/>
  <c r="H18" i="76"/>
  <c r="R72" i="76"/>
  <c r="N72" i="76"/>
  <c r="R66" i="76"/>
  <c r="J66" i="76"/>
  <c r="V72" i="76"/>
  <c r="V66" i="76"/>
  <c r="L18" i="76"/>
  <c r="H48" i="76"/>
  <c r="V48" i="76"/>
  <c r="R48" i="76"/>
  <c r="N48" i="76"/>
  <c r="J48" i="76"/>
  <c r="K72" i="76"/>
  <c r="G72" i="76"/>
  <c r="H25" i="76"/>
  <c r="V31" i="76"/>
  <c r="K18" i="76"/>
  <c r="G31" i="76"/>
  <c r="Q31" i="76"/>
  <c r="I31" i="76"/>
  <c r="H31" i="76"/>
  <c r="K48" i="76"/>
  <c r="G48" i="76"/>
  <c r="M37" i="76"/>
  <c r="I37" i="76"/>
  <c r="H37" i="76"/>
  <c r="I25" i="76"/>
  <c r="L48" i="76"/>
  <c r="I48" i="76"/>
  <c r="O37" i="76"/>
  <c r="G37" i="76"/>
  <c r="Q37" i="76"/>
  <c r="M31" i="76"/>
  <c r="O48" i="76"/>
  <c r="P37" i="76"/>
  <c r="L37" i="76"/>
  <c r="P31" i="76"/>
  <c r="L31" i="76"/>
  <c r="Q25" i="76"/>
  <c r="O25" i="76"/>
  <c r="G25" i="76"/>
  <c r="P48" i="76"/>
  <c r="K31" i="76"/>
  <c r="Q18" i="76"/>
  <c r="M18" i="76"/>
  <c r="Q48" i="76"/>
  <c r="V37" i="76"/>
  <c r="R37" i="76"/>
  <c r="N37" i="76"/>
  <c r="J37" i="76"/>
  <c r="L25" i="76"/>
  <c r="M25" i="76"/>
  <c r="P25" i="76"/>
  <c r="O31" i="76"/>
  <c r="K37" i="76"/>
  <c r="K25" i="76"/>
  <c r="P18" i="76"/>
  <c r="O66" i="76"/>
  <c r="K66" i="76"/>
  <c r="O72" i="76"/>
  <c r="M48" i="76"/>
  <c r="Q72" i="76"/>
  <c r="M72" i="76"/>
  <c r="I72" i="76"/>
  <c r="Q66" i="76"/>
  <c r="M66" i="76"/>
  <c r="I66" i="76"/>
  <c r="P66" i="76"/>
  <c r="L66" i="76"/>
  <c r="H66" i="76"/>
  <c r="V25" i="76"/>
  <c r="R25" i="76"/>
  <c r="N25" i="76"/>
  <c r="J25" i="76"/>
  <c r="V18" i="76"/>
  <c r="R18" i="76"/>
  <c r="N18" i="76"/>
  <c r="J18" i="76"/>
  <c r="P72" i="76"/>
  <c r="L72" i="76"/>
  <c r="H72" i="76"/>
  <c r="R31" i="76"/>
  <c r="N31" i="76"/>
  <c r="J31" i="76"/>
  <c r="J73" i="76" l="1"/>
  <c r="J75" i="76" s="1"/>
  <c r="J82" i="76" s="1"/>
  <c r="V73" i="76"/>
  <c r="V75" i="76" s="1"/>
  <c r="V82" i="76" s="1"/>
  <c r="G73" i="76"/>
  <c r="G75" i="76" s="1"/>
  <c r="G82" i="76" s="1"/>
  <c r="N73" i="76"/>
  <c r="N75" i="76" s="1"/>
  <c r="N82" i="76" s="1"/>
  <c r="R73" i="76"/>
  <c r="R75" i="76" s="1"/>
  <c r="R82" i="76" s="1"/>
  <c r="K73" i="76"/>
  <c r="K75" i="76" s="1"/>
  <c r="K82" i="76" s="1"/>
  <c r="K49" i="76"/>
  <c r="K51" i="76" s="1"/>
  <c r="H49" i="76"/>
  <c r="H51" i="76" s="1"/>
  <c r="Q49" i="76"/>
  <c r="Q51" i="76" s="1"/>
  <c r="V49" i="76"/>
  <c r="V51" i="76" s="1"/>
  <c r="L49" i="76"/>
  <c r="L51" i="76" s="1"/>
  <c r="I49" i="76"/>
  <c r="I51" i="76" s="1"/>
  <c r="M49" i="76"/>
  <c r="M51" i="76" s="1"/>
  <c r="G49" i="76"/>
  <c r="G51" i="76" s="1"/>
  <c r="O49" i="76"/>
  <c r="O51" i="76" s="1"/>
  <c r="P49" i="76"/>
  <c r="P51" i="76" s="1"/>
  <c r="P73" i="76"/>
  <c r="P75" i="76" s="1"/>
  <c r="P82" i="76" s="1"/>
  <c r="O73" i="76"/>
  <c r="O75" i="76" s="1"/>
  <c r="O82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L73" i="76"/>
  <c r="L75" i="76" s="1"/>
  <c r="L82" i="76" s="1"/>
  <c r="H73" i="76"/>
  <c r="H75" i="76" s="1"/>
  <c r="H82" i="76" s="1"/>
  <c r="N49" i="76"/>
  <c r="N51" i="76" s="1"/>
  <c r="N59" i="76" s="1"/>
  <c r="I46" i="69" l="1"/>
  <c r="L46" i="69" s="1"/>
  <c r="F79" i="76"/>
  <c r="E40" i="3" l="1"/>
  <c r="F41" i="75" l="1"/>
  <c r="G41" i="75" s="1"/>
  <c r="J10" i="1"/>
  <c r="J11" i="76" l="1"/>
  <c r="K10" i="1"/>
  <c r="B19" i="69"/>
  <c r="B20" i="69"/>
  <c r="C13" i="3"/>
  <c r="B16" i="75" s="1"/>
  <c r="B13" i="3"/>
  <c r="K11" i="76" l="1"/>
  <c r="L10" i="1"/>
  <c r="J71" i="1"/>
  <c r="J65" i="1"/>
  <c r="J47" i="1"/>
  <c r="J36" i="1"/>
  <c r="J30" i="1"/>
  <c r="J24" i="1"/>
  <c r="J17" i="1"/>
  <c r="L11" i="76" l="1"/>
  <c r="M10" i="1"/>
  <c r="J72" i="1"/>
  <c r="J74" i="1" s="1"/>
  <c r="J81" i="1" s="1"/>
  <c r="J48" i="1"/>
  <c r="J50" i="1" s="1"/>
  <c r="J53" i="1" s="1"/>
  <c r="M11" i="76" l="1"/>
  <c r="E13" i="3"/>
  <c r="J54" i="1"/>
  <c r="N10" i="1"/>
  <c r="I19" i="69"/>
  <c r="J54" i="76"/>
  <c r="F16" i="75" l="1"/>
  <c r="G16" i="75" s="1"/>
  <c r="N11" i="76"/>
  <c r="O10" i="1"/>
  <c r="O11" i="76" l="1"/>
  <c r="P10" i="1"/>
  <c r="B51" i="69"/>
  <c r="P11" i="76" l="1"/>
  <c r="Q10" i="1"/>
  <c r="Q11" i="76" l="1"/>
  <c r="R10" i="1"/>
  <c r="C45" i="3"/>
  <c r="B46" i="75" s="1"/>
  <c r="B45" i="3"/>
  <c r="AP71" i="1"/>
  <c r="AP65" i="1"/>
  <c r="AP47" i="1"/>
  <c r="AP36" i="1"/>
  <c r="AP30" i="1"/>
  <c r="AP24" i="1"/>
  <c r="AP17" i="1"/>
  <c r="S10" i="1" l="1"/>
  <c r="AP72" i="1"/>
  <c r="AP74" i="1" s="1"/>
  <c r="AP81" i="1" s="1"/>
  <c r="AW93" i="1" s="1"/>
  <c r="R11" i="76"/>
  <c r="AP48" i="1"/>
  <c r="AP50" i="1" s="1"/>
  <c r="AP53" i="1" s="1"/>
  <c r="AN54" i="76" s="1"/>
  <c r="T10" i="1" l="1"/>
  <c r="AP54" i="1"/>
  <c r="AN55" i="76" s="1"/>
  <c r="AN59" i="76" s="1"/>
  <c r="I54" i="69"/>
  <c r="L54" i="69" s="1"/>
  <c r="E48" i="3"/>
  <c r="A28" i="69"/>
  <c r="A22" i="3"/>
  <c r="A25" i="75" s="1"/>
  <c r="S11" i="76"/>
  <c r="I51" i="69"/>
  <c r="L36" i="69"/>
  <c r="E45" i="3"/>
  <c r="F46" i="75" l="1"/>
  <c r="G46" i="75" s="1"/>
  <c r="U10" i="1"/>
  <c r="T11" i="76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V10" i="1" l="1"/>
  <c r="A30" i="69"/>
  <c r="A24" i="3"/>
  <c r="A27" i="75" s="1"/>
  <c r="U11" i="76"/>
  <c r="F72" i="76"/>
  <c r="F31" i="76"/>
  <c r="F18" i="76"/>
  <c r="F66" i="76"/>
  <c r="F25" i="76"/>
  <c r="F37" i="76"/>
  <c r="F48" i="76"/>
  <c r="V11" i="76" l="1"/>
  <c r="E73" i="75"/>
  <c r="W10" i="1"/>
  <c r="X10" i="1" s="1"/>
  <c r="F73" i="76"/>
  <c r="F75" i="76" s="1"/>
  <c r="F49" i="76"/>
  <c r="F51" i="76" s="1"/>
  <c r="A33" i="69" l="1"/>
  <c r="X11" i="76"/>
  <c r="A27" i="3"/>
  <c r="A30" i="75" s="1"/>
  <c r="W11" i="76"/>
  <c r="A32" i="69"/>
  <c r="A26" i="3"/>
  <c r="A29" i="75" s="1"/>
  <c r="T36" i="1"/>
  <c r="T30" i="1"/>
  <c r="T24" i="1"/>
  <c r="T17" i="1"/>
  <c r="P36" i="1" l="1"/>
  <c r="O36" i="1"/>
  <c r="Q36" i="1"/>
  <c r="P30" i="1"/>
  <c r="O30" i="1"/>
  <c r="Q30" i="1"/>
  <c r="P24" i="1"/>
  <c r="O24" i="1"/>
  <c r="Q24" i="1"/>
  <c r="P17" i="1"/>
  <c r="O17" i="1"/>
  <c r="Q17" i="1"/>
  <c r="G67" i="75" l="1"/>
  <c r="E45" i="1" l="1"/>
  <c r="F46" i="83" s="1"/>
  <c r="F82" i="76"/>
  <c r="E78" i="1"/>
  <c r="F79" i="83" s="1"/>
  <c r="E54" i="1"/>
  <c r="F55" i="83" s="1"/>
  <c r="V17" i="1"/>
  <c r="F17" i="1"/>
  <c r="G17" i="1"/>
  <c r="H17" i="1"/>
  <c r="R17" i="1"/>
  <c r="I17" i="1"/>
  <c r="K17" i="1"/>
  <c r="L17" i="1"/>
  <c r="N17" i="1"/>
  <c r="F55" i="79" l="1"/>
  <c r="F79" i="79"/>
  <c r="E46" i="76"/>
  <c r="F46" i="79"/>
  <c r="E76" i="1"/>
  <c r="F77" i="83" s="1"/>
  <c r="E77" i="1"/>
  <c r="F78" i="83" s="1"/>
  <c r="E79" i="76"/>
  <c r="Y45" i="1"/>
  <c r="H46" i="83" s="1"/>
  <c r="E55" i="76"/>
  <c r="G46" i="83" l="1"/>
  <c r="H46" i="79"/>
  <c r="G46" i="79" s="1"/>
  <c r="E77" i="76"/>
  <c r="F77" i="79"/>
  <c r="Y77" i="1"/>
  <c r="H78" i="83" s="1"/>
  <c r="F78" i="79"/>
  <c r="E78" i="76"/>
  <c r="A4" i="75"/>
  <c r="B38" i="3"/>
  <c r="B37" i="3"/>
  <c r="B36" i="3"/>
  <c r="B25" i="3"/>
  <c r="B41" i="3"/>
  <c r="B23" i="3"/>
  <c r="B19" i="3"/>
  <c r="B18" i="3"/>
  <c r="B20" i="3"/>
  <c r="B17" i="3"/>
  <c r="B16" i="3"/>
  <c r="B15" i="3"/>
  <c r="B14" i="3"/>
  <c r="B12" i="3"/>
  <c r="B21" i="3"/>
  <c r="B11" i="3"/>
  <c r="B10" i="3"/>
  <c r="B9" i="3"/>
  <c r="B8" i="3"/>
  <c r="I10" i="75"/>
  <c r="G78" i="83" l="1"/>
  <c r="H78" i="79"/>
  <c r="G78" i="79" s="1"/>
  <c r="F24" i="1" l="1"/>
  <c r="G24" i="1"/>
  <c r="H24" i="1"/>
  <c r="R24" i="1"/>
  <c r="I24" i="1"/>
  <c r="K24" i="1"/>
  <c r="L24" i="1"/>
  <c r="N24" i="1"/>
  <c r="V24" i="1"/>
  <c r="AH24" i="1"/>
  <c r="AH17" i="1"/>
  <c r="Y42" i="1" l="1"/>
  <c r="A4" i="1"/>
  <c r="A4" i="76" s="1"/>
  <c r="A5" i="1"/>
  <c r="A5" i="76" s="1"/>
  <c r="A2" i="1"/>
  <c r="F10" i="1"/>
  <c r="A1" i="3" l="1"/>
  <c r="A2" i="76"/>
  <c r="G10" i="1"/>
  <c r="F11" i="76"/>
  <c r="G11" i="76" l="1"/>
  <c r="H10" i="1"/>
  <c r="H11" i="76" l="1"/>
  <c r="A30" i="3"/>
  <c r="A31" i="75" s="1"/>
  <c r="Y11" i="76"/>
  <c r="A36" i="69"/>
  <c r="C41" i="3" l="1"/>
  <c r="B42" i="75" s="1"/>
  <c r="B47" i="69"/>
  <c r="Y76" i="1" l="1"/>
  <c r="H77" i="83" s="1"/>
  <c r="G77" i="83" s="1"/>
  <c r="H77" i="79" l="1"/>
  <c r="G77" i="79" s="1"/>
  <c r="Y78" i="1"/>
  <c r="H79" i="83" s="1"/>
  <c r="G79" i="83" l="1"/>
  <c r="H79" i="79"/>
  <c r="G79" i="79" s="1"/>
  <c r="I47" i="69"/>
  <c r="L47" i="69" s="1"/>
  <c r="E41" i="3"/>
  <c r="E62" i="1"/>
  <c r="E68" i="1"/>
  <c r="F69" i="83" s="1"/>
  <c r="E69" i="1"/>
  <c r="F70" i="83" s="1"/>
  <c r="E73" i="1"/>
  <c r="F74" i="83" s="1"/>
  <c r="E75" i="1"/>
  <c r="F76" i="83" s="1"/>
  <c r="E14" i="1"/>
  <c r="F15" i="83" s="1"/>
  <c r="E21" i="1"/>
  <c r="F22" i="83" s="1"/>
  <c r="E22" i="1"/>
  <c r="F23" i="83" s="1"/>
  <c r="E27" i="1"/>
  <c r="F28" i="83" s="1"/>
  <c r="E29" i="1"/>
  <c r="F30" i="83" s="1"/>
  <c r="E33" i="1"/>
  <c r="F34" i="83" s="1"/>
  <c r="E34" i="1"/>
  <c r="F35" i="83" s="1"/>
  <c r="E35" i="1"/>
  <c r="F36" i="83" s="1"/>
  <c r="E38" i="1"/>
  <c r="F39" i="83" s="1"/>
  <c r="E39" i="1"/>
  <c r="F40" i="83" s="1"/>
  <c r="E40" i="1"/>
  <c r="F41" i="83" s="1"/>
  <c r="E43" i="1"/>
  <c r="F44" i="83" s="1"/>
  <c r="E46" i="1"/>
  <c r="F47" i="83" s="1"/>
  <c r="E53" i="1"/>
  <c r="E55" i="1"/>
  <c r="F56" i="83" s="1"/>
  <c r="E56" i="1"/>
  <c r="F57" i="83" s="1"/>
  <c r="B44" i="69"/>
  <c r="B43" i="69"/>
  <c r="B42" i="69"/>
  <c r="B31" i="69"/>
  <c r="B29" i="69"/>
  <c r="B25" i="69"/>
  <c r="B24" i="69"/>
  <c r="B26" i="69"/>
  <c r="B23" i="69"/>
  <c r="B22" i="69"/>
  <c r="B21" i="69"/>
  <c r="B18" i="69"/>
  <c r="B27" i="69"/>
  <c r="B14" i="69"/>
  <c r="A14" i="69"/>
  <c r="B13" i="69"/>
  <c r="A13" i="69"/>
  <c r="B12" i="69"/>
  <c r="A12" i="69"/>
  <c r="B11" i="69"/>
  <c r="A11" i="69"/>
  <c r="C23" i="3"/>
  <c r="B26" i="75" s="1"/>
  <c r="C38" i="3"/>
  <c r="B39" i="75" s="1"/>
  <c r="C37" i="3"/>
  <c r="B38" i="75" s="1"/>
  <c r="E70" i="1"/>
  <c r="F71" i="83" s="1"/>
  <c r="E63" i="1"/>
  <c r="F64" i="83" s="1"/>
  <c r="E64" i="1"/>
  <c r="F65" i="83" s="1"/>
  <c r="E44" i="1"/>
  <c r="F45" i="83" s="1"/>
  <c r="E28" i="1"/>
  <c r="F29" i="83" s="1"/>
  <c r="E23" i="1"/>
  <c r="F24" i="83" s="1"/>
  <c r="E15" i="1"/>
  <c r="F16" i="83" s="1"/>
  <c r="C36" i="3"/>
  <c r="B37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C14" i="3"/>
  <c r="B17" i="75" s="1"/>
  <c r="C15" i="3"/>
  <c r="B18" i="75" s="1"/>
  <c r="C16" i="3"/>
  <c r="B19" i="75" s="1"/>
  <c r="C17" i="3"/>
  <c r="B20" i="75" s="1"/>
  <c r="C20" i="3"/>
  <c r="B23" i="75" s="1"/>
  <c r="C18" i="3"/>
  <c r="B21" i="75" s="1"/>
  <c r="C19" i="3"/>
  <c r="B22" i="75" s="1"/>
  <c r="C25" i="3"/>
  <c r="B28" i="75" s="1"/>
  <c r="C8" i="3"/>
  <c r="B11" i="75" s="1"/>
  <c r="A9" i="3"/>
  <c r="A12" i="75" s="1"/>
  <c r="C9" i="3"/>
  <c r="B12" i="75" s="1"/>
  <c r="A8" i="3"/>
  <c r="A11" i="75" s="1"/>
  <c r="F42" i="75" l="1"/>
  <c r="G42" i="75" s="1"/>
  <c r="F63" i="83"/>
  <c r="Y62" i="1"/>
  <c r="H63" i="83" s="1"/>
  <c r="F54" i="83"/>
  <c r="F37" i="83"/>
  <c r="F72" i="83"/>
  <c r="F25" i="83"/>
  <c r="F48" i="83"/>
  <c r="F31" i="83"/>
  <c r="F66" i="83"/>
  <c r="F54" i="79"/>
  <c r="F70" i="79"/>
  <c r="F57" i="79"/>
  <c r="F44" i="79"/>
  <c r="F36" i="79"/>
  <c r="F28" i="79"/>
  <c r="F63" i="79"/>
  <c r="F34" i="79"/>
  <c r="F71" i="79"/>
  <c r="F47" i="79"/>
  <c r="F56" i="79"/>
  <c r="F41" i="79"/>
  <c r="F74" i="79"/>
  <c r="E45" i="76"/>
  <c r="F45" i="79"/>
  <c r="E16" i="76"/>
  <c r="F16" i="79"/>
  <c r="E65" i="76"/>
  <c r="F65" i="79"/>
  <c r="E35" i="76"/>
  <c r="F35" i="79"/>
  <c r="E23" i="76"/>
  <c r="F23" i="79"/>
  <c r="E24" i="76"/>
  <c r="F24" i="79"/>
  <c r="E64" i="76"/>
  <c r="F64" i="79"/>
  <c r="E40" i="76"/>
  <c r="F40" i="79"/>
  <c r="E22" i="76"/>
  <c r="F22" i="79"/>
  <c r="E76" i="76"/>
  <c r="F76" i="79"/>
  <c r="E29" i="76"/>
  <c r="F29" i="79"/>
  <c r="E39" i="76"/>
  <c r="F39" i="79"/>
  <c r="E30" i="76"/>
  <c r="F30" i="79"/>
  <c r="Y14" i="1"/>
  <c r="H15" i="83" s="1"/>
  <c r="F15" i="79"/>
  <c r="E69" i="76"/>
  <c r="F69" i="79"/>
  <c r="E54" i="76"/>
  <c r="E34" i="76"/>
  <c r="N10" i="69"/>
  <c r="E87" i="1"/>
  <c r="X89" i="1" s="1"/>
  <c r="X83" i="1" s="1"/>
  <c r="E63" i="76"/>
  <c r="E41" i="76"/>
  <c r="E15" i="76"/>
  <c r="Y70" i="1"/>
  <c r="H71" i="83" s="1"/>
  <c r="G71" i="83" s="1"/>
  <c r="E71" i="76"/>
  <c r="Y56" i="1"/>
  <c r="H57" i="83" s="1"/>
  <c r="G57" i="83" s="1"/>
  <c r="E57" i="76"/>
  <c r="E44" i="76"/>
  <c r="Y35" i="1"/>
  <c r="H36" i="83" s="1"/>
  <c r="G36" i="83" s="1"/>
  <c r="E36" i="76"/>
  <c r="E28" i="76"/>
  <c r="Y73" i="1"/>
  <c r="H74" i="83" s="1"/>
  <c r="G74" i="83" s="1"/>
  <c r="E74" i="76"/>
  <c r="Y46" i="1"/>
  <c r="H47" i="83" s="1"/>
  <c r="G47" i="83" s="1"/>
  <c r="E47" i="76"/>
  <c r="Y55" i="1"/>
  <c r="H56" i="83" s="1"/>
  <c r="E56" i="76"/>
  <c r="Y69" i="1"/>
  <c r="H70" i="83" s="1"/>
  <c r="G70" i="83" s="1"/>
  <c r="E70" i="76"/>
  <c r="Y75" i="1"/>
  <c r="H76" i="83" s="1"/>
  <c r="Y68" i="1"/>
  <c r="H69" i="83" s="1"/>
  <c r="E71" i="1"/>
  <c r="E24" i="1"/>
  <c r="E47" i="1"/>
  <c r="E65" i="1"/>
  <c r="Y43" i="1"/>
  <c r="H44" i="83" s="1"/>
  <c r="Y27" i="1"/>
  <c r="H28" i="83" s="1"/>
  <c r="E30" i="1"/>
  <c r="Y28" i="1"/>
  <c r="H29" i="83" s="1"/>
  <c r="G29" i="83" s="1"/>
  <c r="Y38" i="1"/>
  <c r="H39" i="83" s="1"/>
  <c r="G39" i="83" s="1"/>
  <c r="Y29" i="1"/>
  <c r="H30" i="83" s="1"/>
  <c r="G30" i="83" s="1"/>
  <c r="Y23" i="1"/>
  <c r="H24" i="83" s="1"/>
  <c r="G24" i="83" s="1"/>
  <c r="Y63" i="1"/>
  <c r="H64" i="83" s="1"/>
  <c r="G64" i="83" s="1"/>
  <c r="Y39" i="1"/>
  <c r="H40" i="83" s="1"/>
  <c r="G40" i="83" s="1"/>
  <c r="Y33" i="1"/>
  <c r="H34" i="83" s="1"/>
  <c r="Y21" i="1"/>
  <c r="H22" i="83" s="1"/>
  <c r="Y64" i="1"/>
  <c r="H65" i="83" s="1"/>
  <c r="G65" i="83" s="1"/>
  <c r="Y40" i="1"/>
  <c r="H41" i="83" s="1"/>
  <c r="G41" i="83" s="1"/>
  <c r="Y34" i="1"/>
  <c r="H35" i="83" s="1"/>
  <c r="G35" i="83" s="1"/>
  <c r="Y22" i="1"/>
  <c r="H23" i="83" s="1"/>
  <c r="G23" i="83" s="1"/>
  <c r="Y15" i="1"/>
  <c r="H16" i="83" s="1"/>
  <c r="G16" i="83" s="1"/>
  <c r="Y44" i="1"/>
  <c r="H45" i="83" s="1"/>
  <c r="G45" i="83" s="1"/>
  <c r="V47" i="1"/>
  <c r="R71" i="1"/>
  <c r="K47" i="1"/>
  <c r="N47" i="1"/>
  <c r="N30" i="1"/>
  <c r="T47" i="1"/>
  <c r="T48" i="1" s="1"/>
  <c r="G36" i="1"/>
  <c r="L30" i="1"/>
  <c r="G30" i="1"/>
  <c r="L36" i="1"/>
  <c r="I36" i="1"/>
  <c r="F30" i="1"/>
  <c r="R36" i="1"/>
  <c r="K36" i="1"/>
  <c r="L47" i="1"/>
  <c r="Q47" i="1"/>
  <c r="O47" i="1"/>
  <c r="P47" i="1"/>
  <c r="T71" i="1"/>
  <c r="P65" i="1"/>
  <c r="L65" i="1"/>
  <c r="H65" i="1"/>
  <c r="R30" i="1"/>
  <c r="I30" i="1"/>
  <c r="AH30" i="1"/>
  <c r="L71" i="1"/>
  <c r="H71" i="1"/>
  <c r="E36" i="1"/>
  <c r="F47" i="1"/>
  <c r="F36" i="1"/>
  <c r="H47" i="1"/>
  <c r="H36" i="1"/>
  <c r="K30" i="1"/>
  <c r="N36" i="1"/>
  <c r="P71" i="1"/>
  <c r="O65" i="1"/>
  <c r="N71" i="1"/>
  <c r="V36" i="1"/>
  <c r="V71" i="1"/>
  <c r="Q71" i="1"/>
  <c r="K71" i="1"/>
  <c r="R65" i="1"/>
  <c r="F65" i="1"/>
  <c r="V30" i="1"/>
  <c r="H30" i="1"/>
  <c r="V65" i="1"/>
  <c r="Q65" i="1"/>
  <c r="F71" i="1"/>
  <c r="R47" i="1"/>
  <c r="AH65" i="1"/>
  <c r="T65" i="1"/>
  <c r="O71" i="1"/>
  <c r="N65" i="1"/>
  <c r="K65" i="1"/>
  <c r="I71" i="1"/>
  <c r="G71" i="1"/>
  <c r="G47" i="1"/>
  <c r="I47" i="1"/>
  <c r="AH71" i="1"/>
  <c r="I65" i="1"/>
  <c r="G65" i="1"/>
  <c r="E16" i="1"/>
  <c r="F17" i="83" s="1"/>
  <c r="F18" i="83" s="1"/>
  <c r="O64" i="69" l="1"/>
  <c r="O69" i="69"/>
  <c r="O73" i="69"/>
  <c r="O71" i="69"/>
  <c r="O67" i="69"/>
  <c r="O70" i="69"/>
  <c r="O68" i="69"/>
  <c r="O72" i="69"/>
  <c r="O65" i="69"/>
  <c r="O66" i="69"/>
  <c r="N70" i="69"/>
  <c r="P70" i="69" s="1"/>
  <c r="N73" i="69"/>
  <c r="P73" i="69" s="1"/>
  <c r="N72" i="69"/>
  <c r="N64" i="69"/>
  <c r="P64" i="69" s="1"/>
  <c r="N69" i="69"/>
  <c r="P69" i="69" s="1"/>
  <c r="N67" i="69"/>
  <c r="P67" i="69" s="1"/>
  <c r="N65" i="69"/>
  <c r="N71" i="69"/>
  <c r="N66" i="69"/>
  <c r="P66" i="69" s="1"/>
  <c r="N68" i="69"/>
  <c r="P68" i="69" s="1"/>
  <c r="N45" i="69"/>
  <c r="N49" i="69"/>
  <c r="N50" i="69"/>
  <c r="O49" i="69"/>
  <c r="O45" i="69"/>
  <c r="O50" i="69"/>
  <c r="N33" i="69"/>
  <c r="O33" i="69"/>
  <c r="F73" i="83"/>
  <c r="F75" i="83" s="1"/>
  <c r="F81" i="83" s="1"/>
  <c r="H37" i="83"/>
  <c r="G34" i="83"/>
  <c r="G37" i="83" s="1"/>
  <c r="G28" i="83"/>
  <c r="G31" i="83" s="1"/>
  <c r="H31" i="83"/>
  <c r="H48" i="83"/>
  <c r="G44" i="83"/>
  <c r="G48" i="83" s="1"/>
  <c r="F49" i="83"/>
  <c r="F51" i="83" s="1"/>
  <c r="F59" i="83" s="1"/>
  <c r="H25" i="83"/>
  <c r="G22" i="83"/>
  <c r="G25" i="83" s="1"/>
  <c r="G69" i="83"/>
  <c r="G72" i="83" s="1"/>
  <c r="H72" i="83"/>
  <c r="AV89" i="1"/>
  <c r="AV83" i="1" s="1"/>
  <c r="BB89" i="1"/>
  <c r="BB83" i="1" s="1"/>
  <c r="G15" i="83"/>
  <c r="G76" i="83"/>
  <c r="G63" i="83"/>
  <c r="G66" i="83" s="1"/>
  <c r="H66" i="83"/>
  <c r="G56" i="83"/>
  <c r="AS89" i="1"/>
  <c r="AS83" i="1" s="1"/>
  <c r="R48" i="1"/>
  <c r="R50" i="1" s="1"/>
  <c r="AW89" i="1"/>
  <c r="AW83" i="1" s="1"/>
  <c r="AJ89" i="1"/>
  <c r="AJ83" i="1" s="1"/>
  <c r="F66" i="79"/>
  <c r="F37" i="79"/>
  <c r="F48" i="79"/>
  <c r="F17" i="79"/>
  <c r="F18" i="79" s="1"/>
  <c r="H24" i="79"/>
  <c r="G24" i="79" s="1"/>
  <c r="H15" i="79"/>
  <c r="G15" i="79" s="1"/>
  <c r="H16" i="79"/>
  <c r="G16" i="79" s="1"/>
  <c r="H56" i="79"/>
  <c r="G56" i="79" s="1"/>
  <c r="H74" i="79"/>
  <c r="G74" i="79" s="1"/>
  <c r="H36" i="79"/>
  <c r="G36" i="79" s="1"/>
  <c r="H57" i="79"/>
  <c r="G57" i="79" s="1"/>
  <c r="F72" i="79"/>
  <c r="H23" i="79"/>
  <c r="G23" i="79" s="1"/>
  <c r="H69" i="79"/>
  <c r="H35" i="79"/>
  <c r="G35" i="79" s="1"/>
  <c r="H65" i="79"/>
  <c r="G65" i="79" s="1"/>
  <c r="H64" i="79"/>
  <c r="G64" i="79" s="1"/>
  <c r="H30" i="79"/>
  <c r="G30" i="79" s="1"/>
  <c r="H28" i="79"/>
  <c r="G28" i="79" s="1"/>
  <c r="H76" i="79"/>
  <c r="G76" i="79" s="1"/>
  <c r="H63" i="79"/>
  <c r="G63" i="79" s="1"/>
  <c r="H41" i="79"/>
  <c r="G41" i="79" s="1"/>
  <c r="H39" i="79"/>
  <c r="G39" i="79" s="1"/>
  <c r="H45" i="79"/>
  <c r="G45" i="79" s="1"/>
  <c r="H40" i="79"/>
  <c r="G40" i="79" s="1"/>
  <c r="H29" i="79"/>
  <c r="G29" i="79" s="1"/>
  <c r="H44" i="79"/>
  <c r="G44" i="79" s="1"/>
  <c r="H70" i="79"/>
  <c r="G70" i="79" s="1"/>
  <c r="H47" i="79"/>
  <c r="G47" i="79" s="1"/>
  <c r="H71" i="79"/>
  <c r="G71" i="79" s="1"/>
  <c r="BC89" i="1"/>
  <c r="BC83" i="1" s="1"/>
  <c r="BE89" i="1"/>
  <c r="BE83" i="1" s="1"/>
  <c r="BD89" i="1"/>
  <c r="BD83" i="1" s="1"/>
  <c r="BC94" i="1" s="1"/>
  <c r="AX89" i="1"/>
  <c r="AX83" i="1" s="1"/>
  <c r="AZ89" i="1"/>
  <c r="AZ83" i="1" s="1"/>
  <c r="BA89" i="1"/>
  <c r="BA83" i="1" s="1"/>
  <c r="AY89" i="1"/>
  <c r="AY83" i="1" s="1"/>
  <c r="AO89" i="1"/>
  <c r="AO83" i="1" s="1"/>
  <c r="AN89" i="1"/>
  <c r="AN83" i="1" s="1"/>
  <c r="E66" i="76"/>
  <c r="AT14" i="1"/>
  <c r="F31" i="79"/>
  <c r="E25" i="76"/>
  <c r="E37" i="76"/>
  <c r="F25" i="79"/>
  <c r="AT33" i="1"/>
  <c r="H34" i="79"/>
  <c r="G34" i="79" s="1"/>
  <c r="AT21" i="1"/>
  <c r="H22" i="79"/>
  <c r="O53" i="69"/>
  <c r="O52" i="69"/>
  <c r="O39" i="69"/>
  <c r="N52" i="69"/>
  <c r="N53" i="69"/>
  <c r="N39" i="69"/>
  <c r="N38" i="69"/>
  <c r="N37" i="69"/>
  <c r="O38" i="69"/>
  <c r="O37" i="69"/>
  <c r="AC89" i="1"/>
  <c r="AC83" i="1" s="1"/>
  <c r="AB89" i="1"/>
  <c r="AB83" i="1" s="1"/>
  <c r="AR89" i="1"/>
  <c r="AR83" i="1" s="1"/>
  <c r="AD89" i="1"/>
  <c r="AD83" i="1" s="1"/>
  <c r="AL89" i="1"/>
  <c r="AL83" i="1" s="1"/>
  <c r="AE89" i="1"/>
  <c r="AE83" i="1" s="1"/>
  <c r="AQ89" i="1"/>
  <c r="AQ83" i="1" s="1"/>
  <c r="V72" i="1"/>
  <c r="V74" i="1" s="1"/>
  <c r="V81" i="1" s="1"/>
  <c r="I31" i="69" s="1"/>
  <c r="I72" i="1"/>
  <c r="Q72" i="1"/>
  <c r="N72" i="1"/>
  <c r="N74" i="1" s="1"/>
  <c r="K72" i="1"/>
  <c r="K74" i="1" s="1"/>
  <c r="R72" i="1"/>
  <c r="R74" i="1" s="1"/>
  <c r="T72" i="1"/>
  <c r="T74" i="1" s="1"/>
  <c r="G72" i="1"/>
  <c r="G74" i="1" s="1"/>
  <c r="G81" i="1" s="1"/>
  <c r="G54" i="1" s="1"/>
  <c r="E72" i="1"/>
  <c r="E74" i="1" s="1"/>
  <c r="E81" i="1" s="1"/>
  <c r="O72" i="1"/>
  <c r="L72" i="1"/>
  <c r="H72" i="1"/>
  <c r="F72" i="1"/>
  <c r="P72" i="1"/>
  <c r="AH72" i="1"/>
  <c r="H48" i="1"/>
  <c r="H50" i="1" s="1"/>
  <c r="E72" i="76"/>
  <c r="E31" i="76"/>
  <c r="E48" i="76"/>
  <c r="E17" i="1"/>
  <c r="E17" i="76"/>
  <c r="Q48" i="1"/>
  <c r="Q50" i="1" s="1"/>
  <c r="K48" i="1"/>
  <c r="K50" i="1" s="1"/>
  <c r="K53" i="1" s="1"/>
  <c r="V48" i="1"/>
  <c r="V50" i="1" s="1"/>
  <c r="P48" i="1"/>
  <c r="P50" i="1" s="1"/>
  <c r="P53" i="1" s="1"/>
  <c r="O48" i="1"/>
  <c r="O50" i="1" s="1"/>
  <c r="I48" i="1"/>
  <c r="I50" i="1" s="1"/>
  <c r="F48" i="1"/>
  <c r="F50" i="1" s="1"/>
  <c r="L48" i="1"/>
  <c r="L50" i="1" s="1"/>
  <c r="N48" i="1"/>
  <c r="N50" i="1" s="1"/>
  <c r="AH48" i="1"/>
  <c r="AH50" i="1" s="1"/>
  <c r="G48" i="1"/>
  <c r="Y47" i="1"/>
  <c r="Y36" i="1"/>
  <c r="E48" i="1"/>
  <c r="Y24" i="1"/>
  <c r="Y16" i="1"/>
  <c r="H17" i="83" s="1"/>
  <c r="G17" i="83" s="1"/>
  <c r="T50" i="1"/>
  <c r="P71" i="69" l="1"/>
  <c r="N74" i="69"/>
  <c r="O75" i="69" s="1"/>
  <c r="O77" i="69" s="1"/>
  <c r="O79" i="69" s="1"/>
  <c r="P65" i="69"/>
  <c r="P72" i="69"/>
  <c r="O74" i="69"/>
  <c r="P49" i="69"/>
  <c r="P45" i="69"/>
  <c r="P50" i="69"/>
  <c r="P33" i="69"/>
  <c r="F82" i="83"/>
  <c r="G73" i="83"/>
  <c r="G75" i="83" s="1"/>
  <c r="G81" i="83" s="1"/>
  <c r="H73" i="83"/>
  <c r="H75" i="83" s="1"/>
  <c r="H81" i="83" s="1"/>
  <c r="H49" i="83"/>
  <c r="G18" i="83"/>
  <c r="G49" i="83"/>
  <c r="BF14" i="1"/>
  <c r="H15" i="82" s="1"/>
  <c r="J15" i="83"/>
  <c r="H18" i="83"/>
  <c r="BF21" i="1"/>
  <c r="BG21" i="1" s="1"/>
  <c r="J22" i="83"/>
  <c r="P53" i="69"/>
  <c r="BF33" i="1"/>
  <c r="BG33" i="1" s="1"/>
  <c r="J34" i="83"/>
  <c r="R53" i="1"/>
  <c r="R54" i="76" s="1"/>
  <c r="F73" i="79"/>
  <c r="F75" i="79" s="1"/>
  <c r="F81" i="79" s="1"/>
  <c r="H48" i="79"/>
  <c r="H72" i="79"/>
  <c r="G69" i="79"/>
  <c r="G72" i="79" s="1"/>
  <c r="H17" i="79"/>
  <c r="G17" i="79" s="1"/>
  <c r="G18" i="79" s="1"/>
  <c r="H66" i="79"/>
  <c r="J34" i="79"/>
  <c r="H31" i="79"/>
  <c r="J15" i="79"/>
  <c r="E73" i="76"/>
  <c r="E75" i="76" s="1"/>
  <c r="E82" i="76" s="1"/>
  <c r="G66" i="79"/>
  <c r="F49" i="79"/>
  <c r="F51" i="79" s="1"/>
  <c r="F59" i="79" s="1"/>
  <c r="H37" i="79"/>
  <c r="G22" i="79"/>
  <c r="H25" i="79"/>
  <c r="J22" i="79"/>
  <c r="F22" i="82" s="1"/>
  <c r="G31" i="79"/>
  <c r="G37" i="79"/>
  <c r="G48" i="79"/>
  <c r="P52" i="69"/>
  <c r="P39" i="69"/>
  <c r="P37" i="69"/>
  <c r="P38" i="69"/>
  <c r="F53" i="1"/>
  <c r="O53" i="1"/>
  <c r="O54" i="76" s="1"/>
  <c r="Q53" i="1"/>
  <c r="Q54" i="76" s="1"/>
  <c r="AH53" i="1"/>
  <c r="AF54" i="76" s="1"/>
  <c r="I53" i="1"/>
  <c r="I54" i="76" s="1"/>
  <c r="H53" i="1"/>
  <c r="H54" i="76" s="1"/>
  <c r="T53" i="1"/>
  <c r="T54" i="76" s="1"/>
  <c r="L53" i="1"/>
  <c r="L54" i="76" s="1"/>
  <c r="E25" i="3"/>
  <c r="E10" i="3"/>
  <c r="I13" i="69"/>
  <c r="L13" i="69" s="1"/>
  <c r="Y17" i="1"/>
  <c r="E49" i="76"/>
  <c r="E18" i="76"/>
  <c r="T81" i="1"/>
  <c r="R81" i="1"/>
  <c r="R54" i="1" s="1"/>
  <c r="N81" i="1"/>
  <c r="I23" i="69" s="1"/>
  <c r="K81" i="1"/>
  <c r="K54" i="1" s="1"/>
  <c r="AH74" i="1"/>
  <c r="I74" i="1"/>
  <c r="L74" i="1"/>
  <c r="O74" i="1"/>
  <c r="F74" i="1"/>
  <c r="Q74" i="1"/>
  <c r="P54" i="76"/>
  <c r="P74" i="1"/>
  <c r="P81" i="1" s="1"/>
  <c r="P54" i="1" s="1"/>
  <c r="H74" i="1"/>
  <c r="H81" i="1" s="1"/>
  <c r="K54" i="76"/>
  <c r="M54" i="76"/>
  <c r="L51" i="69"/>
  <c r="Y71" i="1"/>
  <c r="Y30" i="1"/>
  <c r="Y48" i="1" s="1"/>
  <c r="L31" i="69"/>
  <c r="Y65" i="1"/>
  <c r="G50" i="1"/>
  <c r="G53" i="1" s="1"/>
  <c r="I11" i="69"/>
  <c r="E8" i="3"/>
  <c r="E50" i="1"/>
  <c r="P74" i="69" l="1"/>
  <c r="F13" i="75"/>
  <c r="G13" i="75" s="1"/>
  <c r="R58" i="1"/>
  <c r="F28" i="75"/>
  <c r="G28" i="75" s="1"/>
  <c r="H51" i="83"/>
  <c r="E11" i="75"/>
  <c r="E59" i="75" s="1"/>
  <c r="G51" i="83"/>
  <c r="BG14" i="1"/>
  <c r="H22" i="82"/>
  <c r="G22" i="82" s="1"/>
  <c r="F54" i="76"/>
  <c r="L22" i="83"/>
  <c r="N22" i="83" s="1"/>
  <c r="P22" i="83" s="1"/>
  <c r="I22" i="83"/>
  <c r="L15" i="83"/>
  <c r="I15" i="83"/>
  <c r="H34" i="82"/>
  <c r="K34" i="82" s="1"/>
  <c r="L34" i="83"/>
  <c r="I34" i="83"/>
  <c r="H73" i="79"/>
  <c r="H75" i="79" s="1"/>
  <c r="H81" i="79" s="1"/>
  <c r="I34" i="79"/>
  <c r="F34" i="82"/>
  <c r="K22" i="82"/>
  <c r="F82" i="79"/>
  <c r="I15" i="79"/>
  <c r="F15" i="82"/>
  <c r="H18" i="79"/>
  <c r="L34" i="79"/>
  <c r="G73" i="79"/>
  <c r="G75" i="79" s="1"/>
  <c r="G81" i="79" s="1"/>
  <c r="H49" i="79"/>
  <c r="I22" i="79"/>
  <c r="L22" i="79"/>
  <c r="G25" i="79"/>
  <c r="G49" i="79" s="1"/>
  <c r="G51" i="79" s="1"/>
  <c r="E23" i="3"/>
  <c r="T54" i="1"/>
  <c r="E11" i="3"/>
  <c r="H54" i="1"/>
  <c r="I25" i="69"/>
  <c r="L25" i="69" s="1"/>
  <c r="E17" i="3"/>
  <c r="E21" i="3"/>
  <c r="Y72" i="1"/>
  <c r="Y74" i="1" s="1"/>
  <c r="Y81" i="1" s="1"/>
  <c r="I20" i="69"/>
  <c r="L20" i="69" s="1"/>
  <c r="E14" i="3"/>
  <c r="I27" i="69"/>
  <c r="L27" i="69" s="1"/>
  <c r="I22" i="69"/>
  <c r="L22" i="69" s="1"/>
  <c r="E19" i="3"/>
  <c r="E51" i="76"/>
  <c r="E59" i="76" s="1"/>
  <c r="I29" i="69"/>
  <c r="L29" i="69" s="1"/>
  <c r="I14" i="69"/>
  <c r="E16" i="3"/>
  <c r="G54" i="76"/>
  <c r="O81" i="1"/>
  <c r="AH81" i="1"/>
  <c r="AH54" i="1" s="1"/>
  <c r="AF55" i="76" s="1"/>
  <c r="AF59" i="76" s="1"/>
  <c r="I81" i="1"/>
  <c r="I54" i="1" s="1"/>
  <c r="L81" i="1"/>
  <c r="L54" i="1" s="1"/>
  <c r="Q81" i="1"/>
  <c r="Q54" i="1" s="1"/>
  <c r="F81" i="1"/>
  <c r="E38" i="3"/>
  <c r="I44" i="69"/>
  <c r="L44" i="69" s="1"/>
  <c r="Y50" i="1"/>
  <c r="E58" i="1"/>
  <c r="E82" i="1" s="1"/>
  <c r="G11" i="75"/>
  <c r="L23" i="69"/>
  <c r="L19" i="69"/>
  <c r="L11" i="69"/>
  <c r="F17" i="75" l="1"/>
  <c r="G17" i="75" s="1"/>
  <c r="F20" i="75"/>
  <c r="G20" i="75" s="1"/>
  <c r="F39" i="75"/>
  <c r="G39" i="75" s="1"/>
  <c r="F19" i="75"/>
  <c r="G19" i="75" s="1"/>
  <c r="F22" i="75"/>
  <c r="G22" i="75" s="1"/>
  <c r="F26" i="75"/>
  <c r="G26" i="75" s="1"/>
  <c r="F24" i="75"/>
  <c r="G24" i="75" s="1"/>
  <c r="F14" i="75"/>
  <c r="G14" i="75" s="1"/>
  <c r="N15" i="83"/>
  <c r="G34" i="82"/>
  <c r="N34" i="83"/>
  <c r="H51" i="79"/>
  <c r="G15" i="82"/>
  <c r="F54" i="1"/>
  <c r="L14" i="69"/>
  <c r="E18" i="3"/>
  <c r="O54" i="1"/>
  <c r="I24" i="69"/>
  <c r="L24" i="69" s="1"/>
  <c r="I18" i="69"/>
  <c r="L18" i="69" s="1"/>
  <c r="E20" i="3"/>
  <c r="E36" i="3"/>
  <c r="I21" i="69"/>
  <c r="L21" i="69" s="1"/>
  <c r="E12" i="3"/>
  <c r="I26" i="69"/>
  <c r="L26" i="69" s="1"/>
  <c r="N58" i="1"/>
  <c r="E15" i="3"/>
  <c r="E37" i="3"/>
  <c r="I43" i="69"/>
  <c r="L43" i="69" s="1"/>
  <c r="I42" i="69"/>
  <c r="L42" i="69" s="1"/>
  <c r="I12" i="69"/>
  <c r="I16" i="69" s="1"/>
  <c r="E9" i="3"/>
  <c r="H11" i="69"/>
  <c r="D8" i="3"/>
  <c r="F38" i="75" l="1"/>
  <c r="G38" i="75" s="1"/>
  <c r="F15" i="75"/>
  <c r="G15" i="75" s="1"/>
  <c r="F21" i="75"/>
  <c r="G21" i="75" s="1"/>
  <c r="F18" i="75"/>
  <c r="G18" i="75" s="1"/>
  <c r="G8" i="3"/>
  <c r="F8" i="3"/>
  <c r="F37" i="75"/>
  <c r="G37" i="75" s="1"/>
  <c r="F23" i="75"/>
  <c r="G23" i="75" s="1"/>
  <c r="I34" i="69"/>
  <c r="I56" i="69" s="1"/>
  <c r="I74" i="69" s="1"/>
  <c r="F12" i="75"/>
  <c r="G12" i="75" s="1"/>
  <c r="E28" i="3"/>
  <c r="E49" i="3" s="1"/>
  <c r="E64" i="3" s="1"/>
  <c r="P15" i="83"/>
  <c r="P34" i="83"/>
  <c r="D17" i="3"/>
  <c r="F17" i="3" s="1"/>
  <c r="H23" i="69"/>
  <c r="K23" i="69" s="1"/>
  <c r="N23" i="69" s="1"/>
  <c r="L12" i="69"/>
  <c r="L16" i="69" s="1"/>
  <c r="F56" i="69"/>
  <c r="F74" i="69" s="1"/>
  <c r="K11" i="69"/>
  <c r="F59" i="75" l="1"/>
  <c r="G59" i="75"/>
  <c r="L34" i="69"/>
  <c r="E56" i="69"/>
  <c r="N11" i="69"/>
  <c r="L56" i="69" l="1"/>
  <c r="AT15" i="1" l="1"/>
  <c r="AT64" i="1"/>
  <c r="AT34" i="1"/>
  <c r="AT22" i="1"/>
  <c r="AT45" i="1"/>
  <c r="AT70" i="1"/>
  <c r="AT35" i="1"/>
  <c r="J36" i="83" s="1"/>
  <c r="AT78" i="1"/>
  <c r="AT46" i="1"/>
  <c r="AT40" i="1"/>
  <c r="AT38" i="1"/>
  <c r="J39" i="83" s="1"/>
  <c r="AT75" i="1"/>
  <c r="AT27" i="1"/>
  <c r="AT56" i="1"/>
  <c r="AT28" i="1"/>
  <c r="AT44" i="1"/>
  <c r="AT16" i="1"/>
  <c r="AT23" i="1"/>
  <c r="AT55" i="1"/>
  <c r="AT39" i="1"/>
  <c r="AT68" i="1"/>
  <c r="BF68" i="1" s="1"/>
  <c r="AT69" i="1"/>
  <c r="AT73" i="1"/>
  <c r="AT29" i="1"/>
  <c r="AT63" i="1"/>
  <c r="AT43" i="1"/>
  <c r="AT76" i="1"/>
  <c r="AT77" i="1"/>
  <c r="AT62" i="1"/>
  <c r="BF29" i="1" l="1"/>
  <c r="J30" i="83"/>
  <c r="BF75" i="1"/>
  <c r="H76" i="82" s="1"/>
  <c r="J76" i="83"/>
  <c r="L36" i="83"/>
  <c r="N36" i="83" s="1"/>
  <c r="P36" i="83" s="1"/>
  <c r="I36" i="83"/>
  <c r="BF76" i="1"/>
  <c r="BG76" i="1" s="1"/>
  <c r="J77" i="83"/>
  <c r="BF23" i="1"/>
  <c r="J24" i="83"/>
  <c r="BF56" i="1"/>
  <c r="H57" i="82" s="1"/>
  <c r="J57" i="83"/>
  <c r="BF40" i="1"/>
  <c r="J41" i="83"/>
  <c r="BF78" i="1"/>
  <c r="J79" i="83"/>
  <c r="BF16" i="1"/>
  <c r="J17" i="83"/>
  <c r="BF46" i="1"/>
  <c r="J47" i="83"/>
  <c r="BF45" i="1"/>
  <c r="J46" i="83"/>
  <c r="BF15" i="1"/>
  <c r="BF17" i="1" s="1"/>
  <c r="J16" i="83"/>
  <c r="BF77" i="1"/>
  <c r="J78" i="83"/>
  <c r="J44" i="83"/>
  <c r="BF43" i="1"/>
  <c r="H44" i="82" s="1"/>
  <c r="BF55" i="1"/>
  <c r="H56" i="82" s="1"/>
  <c r="J56" i="83"/>
  <c r="BF39" i="1"/>
  <c r="BG39" i="1" s="1"/>
  <c r="J40" i="83"/>
  <c r="BF27" i="1"/>
  <c r="BG27" i="1" s="1"/>
  <c r="J28" i="83"/>
  <c r="BF22" i="1"/>
  <c r="H23" i="82" s="1"/>
  <c r="J23" i="83"/>
  <c r="BF73" i="1"/>
  <c r="H74" i="82" s="1"/>
  <c r="J74" i="83"/>
  <c r="BF70" i="1"/>
  <c r="BG70" i="1" s="1"/>
  <c r="J71" i="83"/>
  <c r="BF69" i="1"/>
  <c r="BG69" i="1" s="1"/>
  <c r="J70" i="83"/>
  <c r="BG68" i="1"/>
  <c r="J69" i="83"/>
  <c r="BF64" i="1"/>
  <c r="BG64" i="1" s="1"/>
  <c r="J65" i="83"/>
  <c r="BF63" i="1"/>
  <c r="BG63" i="1" s="1"/>
  <c r="J64" i="83"/>
  <c r="BF44" i="1"/>
  <c r="H45" i="82" s="1"/>
  <c r="J45" i="83"/>
  <c r="BF34" i="1"/>
  <c r="BG34" i="1" s="1"/>
  <c r="J35" i="83"/>
  <c r="L39" i="83"/>
  <c r="N39" i="83" s="1"/>
  <c r="P39" i="83" s="1"/>
  <c r="I39" i="83"/>
  <c r="BG62" i="1"/>
  <c r="J63" i="83"/>
  <c r="BF28" i="1"/>
  <c r="BF30" i="1" s="1"/>
  <c r="J29" i="83"/>
  <c r="L44" i="83"/>
  <c r="I44" i="83"/>
  <c r="BG73" i="1"/>
  <c r="H30" i="82"/>
  <c r="BG29" i="1"/>
  <c r="H24" i="82"/>
  <c r="BG23" i="1"/>
  <c r="H41" i="82"/>
  <c r="BG40" i="1"/>
  <c r="H79" i="82"/>
  <c r="BG78" i="1"/>
  <c r="H78" i="82"/>
  <c r="BG77" i="1"/>
  <c r="H17" i="82"/>
  <c r="BG16" i="1"/>
  <c r="H47" i="82"/>
  <c r="BG46" i="1"/>
  <c r="H46" i="82"/>
  <c r="BG45" i="1"/>
  <c r="H16" i="82"/>
  <c r="BG15" i="1"/>
  <c r="BF38" i="1"/>
  <c r="H39" i="82" s="1"/>
  <c r="BF35" i="1"/>
  <c r="H36" i="82" s="1"/>
  <c r="J77" i="79"/>
  <c r="F77" i="82" s="1"/>
  <c r="J76" i="79"/>
  <c r="F76" i="82" s="1"/>
  <c r="J57" i="79"/>
  <c r="F57" i="82" s="1"/>
  <c r="J41" i="79"/>
  <c r="F41" i="82" s="1"/>
  <c r="J28" i="79"/>
  <c r="F28" i="82" s="1"/>
  <c r="J47" i="79"/>
  <c r="F47" i="82" s="1"/>
  <c r="J69" i="79"/>
  <c r="F69" i="82" s="1"/>
  <c r="J63" i="79"/>
  <c r="F63" i="82" s="1"/>
  <c r="J45" i="79"/>
  <c r="F45" i="82" s="1"/>
  <c r="J29" i="79"/>
  <c r="F29" i="82" s="1"/>
  <c r="J46" i="79"/>
  <c r="F46" i="82" s="1"/>
  <c r="J40" i="79"/>
  <c r="F40" i="82" s="1"/>
  <c r="J24" i="79"/>
  <c r="F24" i="82" s="1"/>
  <c r="J23" i="79"/>
  <c r="F23" i="82" s="1"/>
  <c r="J17" i="79"/>
  <c r="F17" i="82" s="1"/>
  <c r="J35" i="79"/>
  <c r="F35" i="82" s="1"/>
  <c r="J56" i="79"/>
  <c r="F56" i="82" s="1"/>
  <c r="J30" i="79"/>
  <c r="F30" i="82" s="1"/>
  <c r="J16" i="79"/>
  <c r="F16" i="82" s="1"/>
  <c r="F18" i="82" s="1"/>
  <c r="J71" i="79"/>
  <c r="F71" i="82" s="1"/>
  <c r="J70" i="79"/>
  <c r="F70" i="82" s="1"/>
  <c r="J65" i="79"/>
  <c r="F65" i="82" s="1"/>
  <c r="J64" i="79"/>
  <c r="F64" i="82" s="1"/>
  <c r="J79" i="79"/>
  <c r="F79" i="82" s="1"/>
  <c r="J78" i="79"/>
  <c r="F78" i="82" s="1"/>
  <c r="J74" i="79"/>
  <c r="F74" i="82" s="1"/>
  <c r="J36" i="79"/>
  <c r="F36" i="82" s="1"/>
  <c r="J44" i="79"/>
  <c r="F44" i="82" s="1"/>
  <c r="J39" i="79"/>
  <c r="F39" i="82" s="1"/>
  <c r="AT36" i="1"/>
  <c r="AT47" i="1"/>
  <c r="AT71" i="1"/>
  <c r="AT24" i="1"/>
  <c r="AT65" i="1"/>
  <c r="AT30" i="1"/>
  <c r="AT17" i="1"/>
  <c r="H28" i="82" l="1"/>
  <c r="H77" i="82"/>
  <c r="BG56" i="1"/>
  <c r="BG44" i="1"/>
  <c r="BG75" i="1"/>
  <c r="L47" i="83"/>
  <c r="N47" i="83" s="1"/>
  <c r="P47" i="83" s="1"/>
  <c r="I47" i="83"/>
  <c r="N76" i="83"/>
  <c r="P76" i="83" s="1"/>
  <c r="I76" i="83"/>
  <c r="H40" i="82"/>
  <c r="G40" i="82" s="1"/>
  <c r="N46" i="83"/>
  <c r="P46" i="83" s="1"/>
  <c r="I46" i="83"/>
  <c r="L17" i="83"/>
  <c r="N17" i="83" s="1"/>
  <c r="P17" i="83" s="1"/>
  <c r="I17" i="83"/>
  <c r="L41" i="83"/>
  <c r="N41" i="83" s="1"/>
  <c r="P41" i="83" s="1"/>
  <c r="I41" i="83"/>
  <c r="I24" i="83"/>
  <c r="L24" i="83"/>
  <c r="N24" i="83" s="1"/>
  <c r="P24" i="83" s="1"/>
  <c r="L30" i="83"/>
  <c r="N30" i="83" s="1"/>
  <c r="I30" i="83"/>
  <c r="I16" i="83"/>
  <c r="L16" i="83"/>
  <c r="J18" i="83"/>
  <c r="N79" i="83"/>
  <c r="I79" i="83"/>
  <c r="N57" i="83"/>
  <c r="P57" i="83" s="1"/>
  <c r="I57" i="83"/>
  <c r="N77" i="83"/>
  <c r="P77" i="83" s="1"/>
  <c r="I77" i="83"/>
  <c r="J48" i="83"/>
  <c r="N78" i="83"/>
  <c r="P78" i="83" s="1"/>
  <c r="I78" i="83"/>
  <c r="H65" i="82"/>
  <c r="H64" i="82"/>
  <c r="K64" i="82" s="1"/>
  <c r="BG55" i="1"/>
  <c r="H70" i="82"/>
  <c r="K70" i="82" s="1"/>
  <c r="N56" i="83"/>
  <c r="P56" i="83" s="1"/>
  <c r="I56" i="83"/>
  <c r="BF24" i="1"/>
  <c r="BG22" i="1"/>
  <c r="BG24" i="1" s="1"/>
  <c r="L40" i="83"/>
  <c r="N40" i="83" s="1"/>
  <c r="P40" i="83" s="1"/>
  <c r="I40" i="83"/>
  <c r="L28" i="83"/>
  <c r="N28" i="83" s="1"/>
  <c r="I28" i="83"/>
  <c r="L23" i="83"/>
  <c r="J25" i="83"/>
  <c r="I23" i="83"/>
  <c r="I25" i="83" s="1"/>
  <c r="H69" i="82"/>
  <c r="K69" i="82" s="1"/>
  <c r="BF71" i="1"/>
  <c r="H71" i="82"/>
  <c r="G71" i="82" s="1"/>
  <c r="L74" i="83"/>
  <c r="N74" i="83" s="1"/>
  <c r="I74" i="83"/>
  <c r="L71" i="83"/>
  <c r="N71" i="83" s="1"/>
  <c r="P71" i="83" s="1"/>
  <c r="I71" i="83"/>
  <c r="L70" i="83"/>
  <c r="N70" i="83" s="1"/>
  <c r="P70" i="83" s="1"/>
  <c r="I70" i="83"/>
  <c r="L69" i="83"/>
  <c r="J72" i="83"/>
  <c r="I69" i="83"/>
  <c r="L65" i="83"/>
  <c r="N65" i="83" s="1"/>
  <c r="P65" i="83" s="1"/>
  <c r="I65" i="83"/>
  <c r="L64" i="83"/>
  <c r="N64" i="83" s="1"/>
  <c r="P64" i="83" s="1"/>
  <c r="I64" i="83"/>
  <c r="BF65" i="1"/>
  <c r="L45" i="83"/>
  <c r="I45" i="83"/>
  <c r="H35" i="82"/>
  <c r="G35" i="82" s="1"/>
  <c r="L35" i="83"/>
  <c r="L37" i="83" s="1"/>
  <c r="I35" i="83"/>
  <c r="I37" i="83" s="1"/>
  <c r="J37" i="83"/>
  <c r="BG28" i="1"/>
  <c r="BG30" i="1" s="1"/>
  <c r="H29" i="82"/>
  <c r="H63" i="82"/>
  <c r="K63" i="82" s="1"/>
  <c r="L63" i="83"/>
  <c r="I63" i="83"/>
  <c r="J66" i="83"/>
  <c r="L29" i="83"/>
  <c r="J31" i="83"/>
  <c r="I29" i="83"/>
  <c r="N44" i="83"/>
  <c r="F31" i="82"/>
  <c r="F66" i="82"/>
  <c r="BG17" i="1"/>
  <c r="BG65" i="1"/>
  <c r="K46" i="82"/>
  <c r="G46" i="82"/>
  <c r="K79" i="82"/>
  <c r="G79" i="82"/>
  <c r="K41" i="82"/>
  <c r="G41" i="82"/>
  <c r="G44" i="82"/>
  <c r="H48" i="82"/>
  <c r="K30" i="82"/>
  <c r="G30" i="82"/>
  <c r="F37" i="82"/>
  <c r="F72" i="82"/>
  <c r="K47" i="82"/>
  <c r="G47" i="82"/>
  <c r="BG71" i="1"/>
  <c r="K78" i="82"/>
  <c r="G78" i="82"/>
  <c r="K71" i="82"/>
  <c r="K57" i="82"/>
  <c r="G57" i="82"/>
  <c r="K76" i="82"/>
  <c r="G76" i="82"/>
  <c r="K28" i="82"/>
  <c r="G28" i="82"/>
  <c r="K65" i="82"/>
  <c r="G65" i="82"/>
  <c r="K24" i="82"/>
  <c r="G24" i="82"/>
  <c r="K23" i="82"/>
  <c r="H25" i="82"/>
  <c r="G23" i="82"/>
  <c r="F48" i="82"/>
  <c r="K77" i="82"/>
  <c r="G77" i="82"/>
  <c r="K74" i="82"/>
  <c r="G74" i="82"/>
  <c r="F25" i="82"/>
  <c r="G39" i="82"/>
  <c r="K17" i="82"/>
  <c r="G17" i="82"/>
  <c r="K45" i="82"/>
  <c r="G45" i="82"/>
  <c r="K56" i="82"/>
  <c r="G56" i="82"/>
  <c r="G36" i="82"/>
  <c r="H37" i="82"/>
  <c r="K16" i="82"/>
  <c r="G16" i="82"/>
  <c r="H18" i="82"/>
  <c r="BG35" i="1"/>
  <c r="BF36" i="1"/>
  <c r="BG43" i="1"/>
  <c r="BG38" i="1"/>
  <c r="L41" i="79"/>
  <c r="I41" i="79"/>
  <c r="L76" i="79"/>
  <c r="I76" i="79"/>
  <c r="I47" i="79"/>
  <c r="L47" i="79"/>
  <c r="I28" i="79"/>
  <c r="L28" i="79"/>
  <c r="I57" i="79"/>
  <c r="L57" i="79"/>
  <c r="L77" i="79"/>
  <c r="I77" i="79"/>
  <c r="I69" i="79"/>
  <c r="L69" i="79"/>
  <c r="L63" i="79"/>
  <c r="I63" i="79"/>
  <c r="L45" i="79"/>
  <c r="I45" i="79"/>
  <c r="I29" i="79"/>
  <c r="L29" i="79"/>
  <c r="I46" i="79"/>
  <c r="L46" i="79"/>
  <c r="I40" i="79"/>
  <c r="L40" i="79"/>
  <c r="I24" i="79"/>
  <c r="L24" i="79"/>
  <c r="L23" i="79"/>
  <c r="I23" i="79"/>
  <c r="J25" i="79"/>
  <c r="L17" i="79"/>
  <c r="I17" i="79"/>
  <c r="I35" i="79"/>
  <c r="L35" i="79"/>
  <c r="I56" i="79"/>
  <c r="L56" i="79"/>
  <c r="J31" i="79"/>
  <c r="L30" i="79"/>
  <c r="I30" i="79"/>
  <c r="L16" i="79"/>
  <c r="I16" i="79"/>
  <c r="J18" i="79"/>
  <c r="I71" i="79"/>
  <c r="L71" i="79"/>
  <c r="I70" i="79"/>
  <c r="L70" i="79"/>
  <c r="J72" i="79"/>
  <c r="L65" i="79"/>
  <c r="I65" i="79"/>
  <c r="L64" i="79"/>
  <c r="J66" i="79"/>
  <c r="I64" i="79"/>
  <c r="L79" i="79"/>
  <c r="I79" i="79"/>
  <c r="I78" i="79"/>
  <c r="L78" i="79"/>
  <c r="I74" i="79"/>
  <c r="L74" i="79"/>
  <c r="I36" i="79"/>
  <c r="J37" i="79"/>
  <c r="I44" i="79"/>
  <c r="J48" i="79"/>
  <c r="I39" i="79"/>
  <c r="AT72" i="1"/>
  <c r="AT74" i="1" s="1"/>
  <c r="AT81" i="1" s="1"/>
  <c r="F11" i="55" s="1"/>
  <c r="F15" i="55" s="1"/>
  <c r="AT48" i="1"/>
  <c r="AT50" i="1" s="1"/>
  <c r="I18" i="83" l="1"/>
  <c r="I48" i="83"/>
  <c r="G64" i="82"/>
  <c r="K40" i="82"/>
  <c r="K35" i="82"/>
  <c r="N16" i="83"/>
  <c r="L18" i="83"/>
  <c r="L48" i="83"/>
  <c r="L25" i="83"/>
  <c r="H31" i="82"/>
  <c r="H49" i="82" s="1"/>
  <c r="H51" i="82" s="1"/>
  <c r="I31" i="83"/>
  <c r="P79" i="83"/>
  <c r="P30" i="83"/>
  <c r="L31" i="83"/>
  <c r="P74" i="83"/>
  <c r="P28" i="83"/>
  <c r="G70" i="82"/>
  <c r="H72" i="82"/>
  <c r="G69" i="82"/>
  <c r="G63" i="82"/>
  <c r="L72" i="83"/>
  <c r="J49" i="83"/>
  <c r="J51" i="83" s="1"/>
  <c r="N23" i="83"/>
  <c r="BF72" i="1"/>
  <c r="BF74" i="1" s="1"/>
  <c r="BF81" i="1" s="1"/>
  <c r="G11" i="55" s="1"/>
  <c r="G15" i="55" s="1"/>
  <c r="K29" i="82"/>
  <c r="K31" i="82" s="1"/>
  <c r="I66" i="83"/>
  <c r="H66" i="82"/>
  <c r="L66" i="83"/>
  <c r="BG72" i="1"/>
  <c r="BG74" i="1" s="1"/>
  <c r="BG81" i="1" s="1"/>
  <c r="G29" i="82"/>
  <c r="G31" i="82" s="1"/>
  <c r="J73" i="83"/>
  <c r="J75" i="83" s="1"/>
  <c r="J81" i="83" s="1"/>
  <c r="I72" i="83"/>
  <c r="N69" i="83"/>
  <c r="N45" i="83"/>
  <c r="P45" i="83" s="1"/>
  <c r="N35" i="83"/>
  <c r="N63" i="83"/>
  <c r="N29" i="83"/>
  <c r="P44" i="83"/>
  <c r="K72" i="82"/>
  <c r="K66" i="82"/>
  <c r="K25" i="82"/>
  <c r="F49" i="82"/>
  <c r="F51" i="82" s="1"/>
  <c r="G37" i="82"/>
  <c r="F73" i="82"/>
  <c r="F75" i="82" s="1"/>
  <c r="F81" i="82" s="1"/>
  <c r="G48" i="82"/>
  <c r="G18" i="82"/>
  <c r="G25" i="82"/>
  <c r="BG47" i="1"/>
  <c r="BG36" i="1"/>
  <c r="L31" i="79"/>
  <c r="L25" i="79"/>
  <c r="J73" i="79"/>
  <c r="J75" i="79" s="1"/>
  <c r="J81" i="79" s="1"/>
  <c r="I25" i="79"/>
  <c r="J49" i="79"/>
  <c r="J51" i="79" s="1"/>
  <c r="I31" i="79"/>
  <c r="I18" i="79"/>
  <c r="L72" i="79"/>
  <c r="I72" i="79"/>
  <c r="L66" i="79"/>
  <c r="I66" i="79"/>
  <c r="I37" i="79"/>
  <c r="I48" i="79"/>
  <c r="G66" i="82" l="1"/>
  <c r="L49" i="83"/>
  <c r="L51" i="83" s="1"/>
  <c r="L54" i="83" s="1"/>
  <c r="L59" i="83" s="1"/>
  <c r="I49" i="83"/>
  <c r="I51" i="83" s="1"/>
  <c r="H73" i="82"/>
  <c r="H75" i="82" s="1"/>
  <c r="H81" i="82" s="1"/>
  <c r="P16" i="83"/>
  <c r="P18" i="83" s="1"/>
  <c r="N18" i="83"/>
  <c r="N31" i="83"/>
  <c r="G72" i="82"/>
  <c r="G73" i="82" s="1"/>
  <c r="G75" i="82" s="1"/>
  <c r="G81" i="82" s="1"/>
  <c r="L73" i="83"/>
  <c r="L75" i="83" s="1"/>
  <c r="L81" i="83" s="1"/>
  <c r="I73" i="83"/>
  <c r="I75" i="83" s="1"/>
  <c r="I81" i="83" s="1"/>
  <c r="P23" i="83"/>
  <c r="P25" i="83" s="1"/>
  <c r="N25" i="83"/>
  <c r="P48" i="83"/>
  <c r="N48" i="83"/>
  <c r="P69" i="83"/>
  <c r="P72" i="83" s="1"/>
  <c r="N72" i="83"/>
  <c r="P35" i="83"/>
  <c r="P37" i="83" s="1"/>
  <c r="N37" i="83"/>
  <c r="P29" i="83"/>
  <c r="P31" i="83" s="1"/>
  <c r="N66" i="83"/>
  <c r="P63" i="83"/>
  <c r="P66" i="83" s="1"/>
  <c r="K73" i="82"/>
  <c r="K75" i="82" s="1"/>
  <c r="K81" i="82" s="1"/>
  <c r="G49" i="82"/>
  <c r="G51" i="82" s="1"/>
  <c r="BG48" i="1"/>
  <c r="BG50" i="1" s="1"/>
  <c r="I49" i="79"/>
  <c r="L73" i="79"/>
  <c r="L75" i="79" s="1"/>
  <c r="L81" i="79" s="1"/>
  <c r="I73" i="79"/>
  <c r="N49" i="83" l="1"/>
  <c r="N51" i="83" s="1"/>
  <c r="N73" i="83"/>
  <c r="N75" i="83" s="1"/>
  <c r="N81" i="83" s="1"/>
  <c r="P49" i="83"/>
  <c r="P51" i="83" s="1"/>
  <c r="P73" i="83"/>
  <c r="P75" i="83" s="1"/>
  <c r="P81" i="83" s="1"/>
  <c r="I51" i="79"/>
  <c r="I75" i="79"/>
  <c r="I81" i="79" l="1"/>
  <c r="A18" i="69" l="1"/>
  <c r="A12" i="3"/>
  <c r="A15" i="75" s="1"/>
  <c r="A13" i="3" l="1"/>
  <c r="A16" i="75" s="1"/>
  <c r="A19" i="69"/>
  <c r="A20" i="69" l="1"/>
  <c r="A14" i="3"/>
  <c r="A17" i="75" s="1"/>
  <c r="A21" i="69" l="1"/>
  <c r="A15" i="3"/>
  <c r="A18" i="75" s="1"/>
  <c r="A22" i="69" l="1"/>
  <c r="A16" i="3"/>
  <c r="A19" i="75" s="1"/>
  <c r="A23" i="69" l="1"/>
  <c r="A17" i="3"/>
  <c r="A20" i="75" s="1"/>
  <c r="A24" i="69" l="1"/>
  <c r="A18" i="3"/>
  <c r="A21" i="75" s="1"/>
  <c r="A25" i="69" l="1"/>
  <c r="A19" i="3"/>
  <c r="A22" i="75" s="1"/>
  <c r="A26" i="69" l="1"/>
  <c r="A20" i="3"/>
  <c r="A23" i="75" s="1"/>
  <c r="A21" i="3" l="1"/>
  <c r="A24" i="75" s="1"/>
  <c r="A27" i="69"/>
  <c r="A23" i="3" l="1"/>
  <c r="A26" i="75" s="1"/>
  <c r="A29" i="69"/>
  <c r="A31" i="69" l="1"/>
  <c r="E8" i="75"/>
  <c r="A25" i="3"/>
  <c r="A28" i="75" s="1"/>
  <c r="E63" i="75" l="1"/>
  <c r="R55" i="76"/>
  <c r="R59" i="76" s="1"/>
  <c r="E88" i="1"/>
  <c r="E89" i="1" s="1"/>
  <c r="E83" i="1" s="1"/>
  <c r="G55" i="76"/>
  <c r="G59" i="76" s="1"/>
  <c r="O58" i="1"/>
  <c r="I55" i="76"/>
  <c r="I59" i="76" s="1"/>
  <c r="Q58" i="1"/>
  <c r="L55" i="76"/>
  <c r="L59" i="76" s="1"/>
  <c r="J55" i="76"/>
  <c r="J59" i="76" s="1"/>
  <c r="K58" i="1"/>
  <c r="M55" i="76"/>
  <c r="M59" i="76" s="1"/>
  <c r="H55" i="76"/>
  <c r="H59" i="76" s="1"/>
  <c r="S55" i="76"/>
  <c r="S59" i="76" s="1"/>
  <c r="AA58" i="1"/>
  <c r="T55" i="76"/>
  <c r="T59" i="76" s="1"/>
  <c r="F58" i="1"/>
  <c r="I51" i="75" l="1"/>
  <c r="I55" i="75"/>
  <c r="I54" i="75"/>
  <c r="I58" i="75"/>
  <c r="I52" i="75"/>
  <c r="I53" i="75"/>
  <c r="I56" i="75"/>
  <c r="I57" i="75"/>
  <c r="I50" i="75"/>
  <c r="I49" i="75"/>
  <c r="I32" i="75"/>
  <c r="I47" i="75"/>
  <c r="I36" i="75"/>
  <c r="I40" i="75"/>
  <c r="I39" i="75"/>
  <c r="I42" i="75"/>
  <c r="I41" i="75"/>
  <c r="I43" i="75"/>
  <c r="I33" i="75"/>
  <c r="I46" i="75"/>
  <c r="I35" i="75"/>
  <c r="I30" i="75"/>
  <c r="I38" i="75"/>
  <c r="I37" i="75"/>
  <c r="I48" i="75"/>
  <c r="I34" i="75"/>
  <c r="I44" i="75"/>
  <c r="I45" i="75"/>
  <c r="I13" i="75"/>
  <c r="I17" i="75"/>
  <c r="I21" i="75"/>
  <c r="I25" i="75"/>
  <c r="I29" i="75"/>
  <c r="I14" i="75"/>
  <c r="I18" i="75"/>
  <c r="I22" i="75"/>
  <c r="I26" i="75"/>
  <c r="I31" i="75"/>
  <c r="I15" i="75"/>
  <c r="I19" i="75"/>
  <c r="I23" i="75"/>
  <c r="I27" i="75"/>
  <c r="I16" i="75"/>
  <c r="I20" i="75"/>
  <c r="I24" i="75"/>
  <c r="I28" i="75"/>
  <c r="I12" i="75"/>
  <c r="AP58" i="1"/>
  <c r="AP88" i="1" s="1"/>
  <c r="D26" i="3"/>
  <c r="F26" i="3" s="1"/>
  <c r="H32" i="69"/>
  <c r="K32" i="69" s="1"/>
  <c r="N32" i="69" s="1"/>
  <c r="O30" i="69"/>
  <c r="O32" i="69"/>
  <c r="W88" i="1"/>
  <c r="E65" i="75"/>
  <c r="AG88" i="1"/>
  <c r="AI88" i="1"/>
  <c r="AK88" i="1"/>
  <c r="U55" i="76"/>
  <c r="U59" i="76" s="1"/>
  <c r="U58" i="1"/>
  <c r="U88" i="1" s="1"/>
  <c r="AF58" i="1"/>
  <c r="AM58" i="1"/>
  <c r="H48" i="69" s="1"/>
  <c r="K48" i="69" s="1"/>
  <c r="N48" i="69" s="1"/>
  <c r="O41" i="69"/>
  <c r="D21" i="3"/>
  <c r="F21" i="3" s="1"/>
  <c r="N88" i="1"/>
  <c r="G58" i="1"/>
  <c r="H13" i="69" s="1"/>
  <c r="K13" i="69" s="1"/>
  <c r="N13" i="69" s="1"/>
  <c r="O22" i="69"/>
  <c r="O23" i="69"/>
  <c r="P23" i="69" s="1"/>
  <c r="O43" i="69"/>
  <c r="O26" i="69"/>
  <c r="O44" i="69"/>
  <c r="O40" i="69"/>
  <c r="O25" i="69"/>
  <c r="O29" i="69"/>
  <c r="O36" i="69"/>
  <c r="O47" i="69"/>
  <c r="O28" i="69"/>
  <c r="O24" i="69"/>
  <c r="Q55" i="76"/>
  <c r="Q59" i="76" s="1"/>
  <c r="O54" i="69"/>
  <c r="I58" i="1"/>
  <c r="H18" i="69" s="1"/>
  <c r="K18" i="69" s="1"/>
  <c r="N18" i="69" s="1"/>
  <c r="F63" i="75"/>
  <c r="F65" i="75" s="1"/>
  <c r="I11" i="75"/>
  <c r="L58" i="1"/>
  <c r="D15" i="3" s="1"/>
  <c r="F15" i="3" s="1"/>
  <c r="F55" i="76"/>
  <c r="F59" i="76" s="1"/>
  <c r="O55" i="76"/>
  <c r="O59" i="76" s="1"/>
  <c r="O14" i="69"/>
  <c r="O13" i="69"/>
  <c r="O20" i="69"/>
  <c r="O18" i="69"/>
  <c r="O46" i="69"/>
  <c r="O19" i="69"/>
  <c r="O12" i="69"/>
  <c r="M58" i="1"/>
  <c r="D16" i="3" s="1"/>
  <c r="F16" i="3" s="1"/>
  <c r="O51" i="69"/>
  <c r="O31" i="69"/>
  <c r="O42" i="69"/>
  <c r="O48" i="69"/>
  <c r="O11" i="69"/>
  <c r="O21" i="69"/>
  <c r="O27" i="69"/>
  <c r="J58" i="1"/>
  <c r="D13" i="3" s="1"/>
  <c r="F13" i="3" s="1"/>
  <c r="D34" i="3"/>
  <c r="F34" i="3" s="1"/>
  <c r="T58" i="1"/>
  <c r="D23" i="3" s="1"/>
  <c r="F23" i="3" s="1"/>
  <c r="S58" i="1"/>
  <c r="D22" i="3" s="1"/>
  <c r="F22" i="3" s="1"/>
  <c r="K55" i="76"/>
  <c r="K59" i="76" s="1"/>
  <c r="H58" i="1"/>
  <c r="D11" i="3" s="1"/>
  <c r="F11" i="3" s="1"/>
  <c r="Y54" i="1"/>
  <c r="H55" i="83" s="1"/>
  <c r="G55" i="83" s="1"/>
  <c r="AH58" i="1"/>
  <c r="D37" i="3" s="1"/>
  <c r="F37" i="3" s="1"/>
  <c r="P55" i="76"/>
  <c r="P59" i="76" s="1"/>
  <c r="P58" i="1"/>
  <c r="H25" i="69" s="1"/>
  <c r="K25" i="69" s="1"/>
  <c r="N25" i="69" s="1"/>
  <c r="Y55" i="76"/>
  <c r="Y59" i="76" s="1"/>
  <c r="D9" i="3"/>
  <c r="F9" i="3" s="1"/>
  <c r="H12" i="69"/>
  <c r="F88" i="1"/>
  <c r="D14" i="3"/>
  <c r="F14" i="3" s="1"/>
  <c r="H20" i="69"/>
  <c r="K20" i="69" s="1"/>
  <c r="N20" i="69" s="1"/>
  <c r="K88" i="1"/>
  <c r="D36" i="3"/>
  <c r="F36" i="3" s="1"/>
  <c r="H42" i="69"/>
  <c r="K42" i="69" s="1"/>
  <c r="N42" i="69" s="1"/>
  <c r="H44" i="69"/>
  <c r="K44" i="69" s="1"/>
  <c r="N44" i="69" s="1"/>
  <c r="D38" i="3"/>
  <c r="F38" i="3" s="1"/>
  <c r="D18" i="3"/>
  <c r="F18" i="3" s="1"/>
  <c r="H24" i="69"/>
  <c r="K24" i="69" s="1"/>
  <c r="N24" i="69" s="1"/>
  <c r="O88" i="1"/>
  <c r="D30" i="3"/>
  <c r="F30" i="3" s="1"/>
  <c r="H36" i="69"/>
  <c r="K36" i="69" s="1"/>
  <c r="N36" i="69" s="1"/>
  <c r="AA88" i="1"/>
  <c r="D20" i="3"/>
  <c r="F20" i="3" s="1"/>
  <c r="H26" i="69"/>
  <c r="K26" i="69" s="1"/>
  <c r="N26" i="69" s="1"/>
  <c r="Q88" i="1"/>
  <c r="D48" i="3" l="1"/>
  <c r="AT54" i="1"/>
  <c r="H55" i="79"/>
  <c r="G55" i="79" s="1"/>
  <c r="E69" i="75"/>
  <c r="G65" i="75"/>
  <c r="P11" i="69"/>
  <c r="O16" i="69"/>
  <c r="O34" i="69" s="1"/>
  <c r="O56" i="69" s="1"/>
  <c r="H51" i="69"/>
  <c r="K51" i="69" s="1"/>
  <c r="N51" i="69" s="1"/>
  <c r="P51" i="69" s="1"/>
  <c r="D45" i="3"/>
  <c r="F45" i="3" s="1"/>
  <c r="P32" i="69"/>
  <c r="AG89" i="1"/>
  <c r="Q89" i="1"/>
  <c r="Q83" i="1" s="1"/>
  <c r="AP89" i="1"/>
  <c r="AP83" i="1" s="1"/>
  <c r="AA89" i="1"/>
  <c r="AA83" i="1" s="1"/>
  <c r="K89" i="1"/>
  <c r="K83" i="1" s="1"/>
  <c r="U89" i="1"/>
  <c r="U83" i="1" s="1"/>
  <c r="N89" i="1"/>
  <c r="N83" i="1" s="1"/>
  <c r="AK89" i="1"/>
  <c r="AK83" i="1" s="1"/>
  <c r="O89" i="1"/>
  <c r="O83" i="1" s="1"/>
  <c r="F89" i="1"/>
  <c r="F83" i="1" s="1"/>
  <c r="AI89" i="1"/>
  <c r="AI83" i="1" s="1"/>
  <c r="W89" i="1"/>
  <c r="W83" i="1" s="1"/>
  <c r="D24" i="3"/>
  <c r="F24" i="3" s="1"/>
  <c r="H30" i="69"/>
  <c r="K30" i="69" s="1"/>
  <c r="N30" i="69" s="1"/>
  <c r="P30" i="69" s="1"/>
  <c r="D41" i="3"/>
  <c r="F41" i="3" s="1"/>
  <c r="H47" i="69"/>
  <c r="K47" i="69" s="1"/>
  <c r="N47" i="69" s="1"/>
  <c r="P47" i="69" s="1"/>
  <c r="AM88" i="1"/>
  <c r="D42" i="3"/>
  <c r="F42" i="3" s="1"/>
  <c r="H41" i="69"/>
  <c r="K41" i="69" s="1"/>
  <c r="N41" i="69" s="1"/>
  <c r="P41" i="69" s="1"/>
  <c r="D35" i="3"/>
  <c r="F35" i="3" s="1"/>
  <c r="AF88" i="1"/>
  <c r="R88" i="1"/>
  <c r="H27" i="69"/>
  <c r="K27" i="69" s="1"/>
  <c r="N27" i="69" s="1"/>
  <c r="P27" i="69" s="1"/>
  <c r="M88" i="1"/>
  <c r="J88" i="1"/>
  <c r="D10" i="3"/>
  <c r="F10" i="3" s="1"/>
  <c r="G88" i="1"/>
  <c r="H54" i="69"/>
  <c r="K54" i="69" s="1"/>
  <c r="N54" i="69" s="1"/>
  <c r="P54" i="69" s="1"/>
  <c r="D40" i="3"/>
  <c r="F40" i="3" s="1"/>
  <c r="P26" i="69"/>
  <c r="P44" i="69"/>
  <c r="H46" i="69"/>
  <c r="K46" i="69" s="1"/>
  <c r="N46" i="69" s="1"/>
  <c r="P46" i="69" s="1"/>
  <c r="P36" i="69"/>
  <c r="P25" i="69"/>
  <c r="P24" i="69"/>
  <c r="I88" i="1"/>
  <c r="S88" i="1"/>
  <c r="P48" i="69"/>
  <c r="D12" i="3"/>
  <c r="F12" i="3" s="1"/>
  <c r="H28" i="69"/>
  <c r="K28" i="69" s="1"/>
  <c r="N28" i="69" s="1"/>
  <c r="P28" i="69" s="1"/>
  <c r="L88" i="1"/>
  <c r="H21" i="69"/>
  <c r="K21" i="69" s="1"/>
  <c r="N21" i="69" s="1"/>
  <c r="P21" i="69" s="1"/>
  <c r="H19" i="69"/>
  <c r="K19" i="69" s="1"/>
  <c r="N19" i="69" s="1"/>
  <c r="P19" i="69" s="1"/>
  <c r="H40" i="69"/>
  <c r="K40" i="69" s="1"/>
  <c r="N40" i="69" s="1"/>
  <c r="P40" i="69" s="1"/>
  <c r="P13" i="69"/>
  <c r="P42" i="69"/>
  <c r="H22" i="69"/>
  <c r="K22" i="69" s="1"/>
  <c r="N22" i="69" s="1"/>
  <c r="P22" i="69" s="1"/>
  <c r="P20" i="69"/>
  <c r="P18" i="69"/>
  <c r="T88" i="1"/>
  <c r="H29" i="69"/>
  <c r="K29" i="69" s="1"/>
  <c r="N29" i="69" s="1"/>
  <c r="P29" i="69" s="1"/>
  <c r="P88" i="1"/>
  <c r="H43" i="69"/>
  <c r="K43" i="69" s="1"/>
  <c r="N43" i="69" s="1"/>
  <c r="P43" i="69" s="1"/>
  <c r="H88" i="1"/>
  <c r="H14" i="69"/>
  <c r="K14" i="69" s="1"/>
  <c r="N14" i="69" s="1"/>
  <c r="P14" i="69" s="1"/>
  <c r="AH88" i="1"/>
  <c r="D19" i="3"/>
  <c r="F19" i="3" s="1"/>
  <c r="K12" i="69"/>
  <c r="AG83" i="1" l="1"/>
  <c r="AW94" i="1"/>
  <c r="BF54" i="1"/>
  <c r="H55" i="82" s="1"/>
  <c r="K55" i="82" s="1"/>
  <c r="J55" i="83"/>
  <c r="E72" i="75"/>
  <c r="J55" i="79"/>
  <c r="F55" i="82" s="1"/>
  <c r="K16" i="69"/>
  <c r="H16" i="69"/>
  <c r="AH89" i="1"/>
  <c r="AH83" i="1" s="1"/>
  <c r="J89" i="1"/>
  <c r="J83" i="1" s="1"/>
  <c r="AF89" i="1"/>
  <c r="AF83" i="1" s="1"/>
  <c r="T89" i="1"/>
  <c r="T83" i="1" s="1"/>
  <c r="I89" i="1"/>
  <c r="I83" i="1" s="1"/>
  <c r="R89" i="1"/>
  <c r="R83" i="1" s="1"/>
  <c r="AM89" i="1"/>
  <c r="AM83" i="1" s="1"/>
  <c r="P89" i="1"/>
  <c r="P83" i="1" s="1"/>
  <c r="L89" i="1"/>
  <c r="L83" i="1" s="1"/>
  <c r="S89" i="1"/>
  <c r="S83" i="1" s="1"/>
  <c r="M89" i="1"/>
  <c r="M83" i="1" s="1"/>
  <c r="H89" i="1"/>
  <c r="H83" i="1" s="1"/>
  <c r="G89" i="1"/>
  <c r="G83" i="1" s="1"/>
  <c r="F69" i="75"/>
  <c r="F72" i="75" s="1"/>
  <c r="N12" i="69"/>
  <c r="N16" i="69" s="1"/>
  <c r="AW95" i="1" l="1"/>
  <c r="G55" i="82"/>
  <c r="BG54" i="1"/>
  <c r="N55" i="83"/>
  <c r="P55" i="83" s="1"/>
  <c r="I55" i="83"/>
  <c r="G72" i="75"/>
  <c r="V53" i="1"/>
  <c r="Y53" i="1" s="1"/>
  <c r="I55" i="79"/>
  <c r="L55" i="79"/>
  <c r="G69" i="75"/>
  <c r="P12" i="69"/>
  <c r="AT53" i="1" l="1"/>
  <c r="BF53" i="1" s="1"/>
  <c r="BG53" i="1" s="1"/>
  <c r="BG58" i="1" s="1"/>
  <c r="BG88" i="1" s="1"/>
  <c r="BG89" i="1" s="1"/>
  <c r="BG83" i="1" s="1"/>
  <c r="H54" i="83"/>
  <c r="V58" i="1"/>
  <c r="V88" i="1" s="1"/>
  <c r="V54" i="76"/>
  <c r="V59" i="76" s="1"/>
  <c r="H54" i="79"/>
  <c r="I65" i="75"/>
  <c r="I72" i="75" s="1"/>
  <c r="J73" i="75" s="1"/>
  <c r="I59" i="75"/>
  <c r="Y58" i="1"/>
  <c r="Y88" i="1" s="1"/>
  <c r="J54" i="83" l="1"/>
  <c r="I54" i="83" s="1"/>
  <c r="I59" i="83" s="1"/>
  <c r="G54" i="83"/>
  <c r="G59" i="83" s="1"/>
  <c r="H59" i="83"/>
  <c r="H82" i="83" s="1"/>
  <c r="H54" i="82"/>
  <c r="H59" i="82" s="1"/>
  <c r="H82" i="82" s="1"/>
  <c r="D25" i="3"/>
  <c r="F25" i="3" s="1"/>
  <c r="F28" i="3" s="1"/>
  <c r="H31" i="69"/>
  <c r="G54" i="79"/>
  <c r="G59" i="79" s="1"/>
  <c r="H59" i="79"/>
  <c r="H82" i="79" s="1"/>
  <c r="J54" i="79"/>
  <c r="F54" i="82" s="1"/>
  <c r="Y89" i="1"/>
  <c r="Y83" i="1" s="1"/>
  <c r="V89" i="1"/>
  <c r="V83" i="1" s="1"/>
  <c r="AT58" i="1"/>
  <c r="F49" i="3" l="1"/>
  <c r="F64" i="3" s="1"/>
  <c r="F65" i="3" s="1"/>
  <c r="K31" i="69"/>
  <c r="H34" i="69"/>
  <c r="D28" i="3"/>
  <c r="G28" i="3" s="1"/>
  <c r="N54" i="83"/>
  <c r="P54" i="83" s="1"/>
  <c r="P59" i="83" s="1"/>
  <c r="P86" i="83" s="1"/>
  <c r="P87" i="83" s="1"/>
  <c r="J59" i="83"/>
  <c r="J82" i="83" s="1"/>
  <c r="F59" i="82"/>
  <c r="F82" i="82" s="1"/>
  <c r="G54" i="82"/>
  <c r="G59" i="82" s="1"/>
  <c r="F17" i="55"/>
  <c r="AT88" i="1"/>
  <c r="AT89" i="1" s="1"/>
  <c r="AT83" i="1" s="1"/>
  <c r="I54" i="79"/>
  <c r="J59" i="79"/>
  <c r="J82" i="79" s="1"/>
  <c r="N31" i="69"/>
  <c r="K34" i="69"/>
  <c r="D49" i="3" l="1"/>
  <c r="N59" i="83"/>
  <c r="J86" i="83"/>
  <c r="J87" i="83" s="1"/>
  <c r="I59" i="79"/>
  <c r="K56" i="69"/>
  <c r="H56" i="69"/>
  <c r="H74" i="69" s="1"/>
  <c r="P31" i="69"/>
  <c r="N34" i="69"/>
  <c r="N56" i="69" s="1"/>
  <c r="O57" i="69" s="1"/>
  <c r="O59" i="69" s="1"/>
  <c r="D64" i="3" l="1"/>
  <c r="G64" i="3" s="1"/>
  <c r="G49" i="3"/>
  <c r="N82" i="83"/>
  <c r="F19" i="55"/>
  <c r="F23" i="55" s="1"/>
  <c r="H29" i="55" l="1"/>
  <c r="H25" i="55"/>
  <c r="BF47" i="1"/>
  <c r="O62" i="69"/>
  <c r="J12" i="56"/>
  <c r="I15" i="82" s="1"/>
  <c r="F27" i="55"/>
  <c r="O61" i="69"/>
  <c r="F31" i="55"/>
  <c r="I18" i="82" l="1"/>
  <c r="BF48" i="1"/>
  <c r="BF50" i="1" s="1"/>
  <c r="BF58" i="1" s="1"/>
  <c r="J17" i="56"/>
  <c r="I44" i="82" s="1"/>
  <c r="K15" i="79"/>
  <c r="J15" i="56"/>
  <c r="I39" i="82" s="1"/>
  <c r="P62" i="69"/>
  <c r="J19" i="56"/>
  <c r="I36" i="82" s="1"/>
  <c r="I48" i="82" l="1"/>
  <c r="I37" i="82"/>
  <c r="BF88" i="1"/>
  <c r="BF89" i="1" s="1"/>
  <c r="BF83" i="1" s="1"/>
  <c r="G17" i="55"/>
  <c r="G19" i="55" s="1"/>
  <c r="G23" i="55" s="1"/>
  <c r="K39" i="79"/>
  <c r="L39" i="79" s="1"/>
  <c r="K36" i="79"/>
  <c r="K18" i="79"/>
  <c r="L15" i="79"/>
  <c r="L18" i="79" s="1"/>
  <c r="K44" i="79"/>
  <c r="J21" i="56"/>
  <c r="J23" i="56" s="1"/>
  <c r="J25" i="56" s="1"/>
  <c r="I54" i="82" s="1"/>
  <c r="I49" i="82" l="1"/>
  <c r="H19" i="55"/>
  <c r="H23" i="55" s="1"/>
  <c r="K48" i="79"/>
  <c r="L44" i="79"/>
  <c r="L48" i="79" s="1"/>
  <c r="K37" i="79"/>
  <c r="L36" i="79"/>
  <c r="L37" i="79" s="1"/>
  <c r="J27" i="56"/>
  <c r="J29" i="56" s="1"/>
  <c r="J30" i="56" s="1"/>
  <c r="K54" i="79"/>
  <c r="L54" i="79" s="1"/>
  <c r="O80" i="69" l="1"/>
  <c r="R80" i="69" s="1"/>
  <c r="P89" i="83"/>
  <c r="P91" i="83" s="1"/>
  <c r="K12" i="56"/>
  <c r="J15" i="82" s="1"/>
  <c r="I51" i="82"/>
  <c r="I59" i="82" s="1"/>
  <c r="H27" i="55"/>
  <c r="H31" i="55"/>
  <c r="L49" i="79"/>
  <c r="L51" i="79" s="1"/>
  <c r="L59" i="79" s="1"/>
  <c r="L82" i="79" s="1"/>
  <c r="K49" i="79"/>
  <c r="K51" i="79" s="1"/>
  <c r="K59" i="79" s="1"/>
  <c r="K15" i="56" l="1"/>
  <c r="J39" i="82" s="1"/>
  <c r="K39" i="82" s="1"/>
  <c r="K19" i="56"/>
  <c r="J36" i="82" s="1"/>
  <c r="K36" i="82" s="1"/>
  <c r="K37" i="82" s="1"/>
  <c r="K17" i="56"/>
  <c r="J44" i="82" s="1"/>
  <c r="K44" i="82" s="1"/>
  <c r="K48" i="82" s="1"/>
  <c r="K15" i="82"/>
  <c r="K18" i="82" s="1"/>
  <c r="J18" i="82"/>
  <c r="A36" i="3"/>
  <c r="A37" i="75" s="1"/>
  <c r="A42" i="69"/>
  <c r="J37" i="82" l="1"/>
  <c r="J48" i="82"/>
  <c r="K21" i="56"/>
  <c r="K23" i="56" s="1"/>
  <c r="K25" i="56" s="1"/>
  <c r="J54" i="82" s="1"/>
  <c r="K54" i="82" s="1"/>
  <c r="K49" i="82"/>
  <c r="K51" i="82" s="1"/>
  <c r="A37" i="3"/>
  <c r="A38" i="75" s="1"/>
  <c r="A43" i="69"/>
  <c r="AK10" i="1"/>
  <c r="AI11" i="76" s="1"/>
  <c r="J49" i="82" l="1"/>
  <c r="J51" i="82" s="1"/>
  <c r="J59" i="82" s="1"/>
  <c r="K59" i="82"/>
  <c r="K82" i="82" s="1"/>
  <c r="K27" i="56"/>
  <c r="K29" i="56" s="1"/>
  <c r="K30" i="56" s="1"/>
  <c r="A38" i="3"/>
  <c r="A39" i="75" s="1"/>
  <c r="A44" i="69"/>
  <c r="AL10" i="1" l="1"/>
  <c r="AJ11" i="76" s="1"/>
  <c r="A47" i="69" l="1"/>
  <c r="A41" i="3"/>
  <c r="A42" i="75" s="1"/>
  <c r="AM10" i="1"/>
  <c r="AN10" i="1" l="1"/>
  <c r="AK11" i="76"/>
  <c r="A48" i="69"/>
  <c r="A42" i="3"/>
  <c r="A43" i="75" s="1"/>
  <c r="A46" i="69"/>
  <c r="A40" i="3"/>
  <c r="A41" i="75" s="1"/>
  <c r="A43" i="3"/>
  <c r="A44" i="75" s="1"/>
  <c r="AO10" i="1" l="1"/>
  <c r="A49" i="69"/>
  <c r="AL11" i="76"/>
  <c r="A34" i="3"/>
  <c r="A35" i="75" s="1"/>
  <c r="A40" i="69"/>
  <c r="A50" i="69" l="1"/>
  <c r="AM11" i="76"/>
  <c r="A44" i="3"/>
  <c r="A45" i="75" s="1"/>
  <c r="A45" i="3"/>
  <c r="A46" i="75" s="1"/>
  <c r="A51" i="69"/>
  <c r="A52" i="69" l="1"/>
  <c r="A46" i="3"/>
  <c r="A47" i="75" s="1"/>
  <c r="A53" i="69" l="1"/>
  <c r="A47" i="3"/>
  <c r="A48" i="75" s="1"/>
  <c r="A39" i="69" l="1"/>
  <c r="A33" i="3"/>
  <c r="A34" i="75" s="1"/>
  <c r="A41" i="69" l="1"/>
  <c r="A35" i="3"/>
  <c r="A36" i="75" s="1"/>
  <c r="A54" i="69" l="1"/>
  <c r="A4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<sst xmlns="http://schemas.openxmlformats.org/spreadsheetml/2006/main" count="1308" uniqueCount="683">
  <si>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</si>
  <si>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</si>
  <si>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</si>
  <si>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</si>
  <si>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</si>
  <si>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</si>
  <si>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</si>
  <si>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</si>
  <si>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</si>
  <si>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</si>
  <si>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</si>
  <si>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</si>
  <si>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</si>
  <si>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</si>
  <si>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</si>
  <si>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</si>
  <si>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</si>
  <si>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</si>
  <si>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</si>
  <si>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</si>
  <si>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</si>
  <si>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</si>
  <si>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</si>
  <si>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</si>
  <si>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</si>
  <si>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</si>
  <si>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</si>
  <si>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</si>
  <si>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</si>
  <si>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</si>
  <si>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</si>
  <si>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</si>
  <si>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</si>
  <si>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</si>
  <si>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</si>
  <si>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</si>
  <si>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</si>
  <si>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</si>
  <si>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</si>
  <si>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</si>
  <si>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</si>
  <si>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</si>
  <si>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</si>
  <si>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</si>
  <si>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</si>
  <si>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</si>
  <si>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</si>
  <si>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</si>
  <si>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</si>
  <si>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</si>
  <si>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</si>
  <si>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</si>
  <si>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</si>
  <si>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</si>
  <si>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</si>
  <si>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</si>
  <si>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</si>
  <si>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</si>
  <si>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</si>
  <si>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</si>
  <si>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</si>
  <si>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</si>
  <si>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</si>
  <si>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</si>
  <si>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</si>
  <si>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</si>
  <si>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</si>
  <si>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</si>
  <si>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</si>
  <si>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</si>
  <si>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</si>
  <si>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</si>
  <si>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</si>
  <si>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</si>
  <si>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</si>
  <si>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</si>
  <si>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</si>
  <si>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</si>
  <si>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</si>
  <si>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</si>
  <si>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</si>
  <si>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</si>
  <si>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</si>
  <si>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</si>
  <si>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</si>
  <si>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</si>
  <si>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</si>
  <si>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</si>
  <si>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</si>
  <si>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</si>
  <si>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</si>
  <si>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</si>
  <si>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</si>
  <si>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</si>
  <si>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</si>
  <si>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</si>
  <si>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</si>
  <si>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</si>
  <si>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</si>
  <si>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</si>
  <si>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</si>
  <si>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</si>
  <si>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</si>
  <si>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</si>
  <si>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</si>
  <si>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</si>
  <si>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</si>
  <si>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</si>
  <si>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</si>
  <si>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</si>
  <si>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</si>
  <si>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</si>
  <si>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</si>
  <si>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</si>
  <si>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</si>
  <si>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</si>
  <si>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</si>
  <si>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</si>
  <si>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</si>
  <si>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</si>
  <si>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</si>
  <si>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</si>
  <si>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</si>
  <si>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>Restate Debt Interest</t>
  </si>
  <si>
    <t>Labor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</si>
  <si>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</si>
  <si>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</si>
  <si>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</si>
  <si>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</si>
  <si>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</si>
  <si>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</si>
  <si>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</si>
  <si>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</si>
  <si>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</si>
  <si>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</si>
  <si>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</si>
  <si>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</si>
  <si>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</si>
  <si>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</si>
  <si>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</si>
  <si>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</si>
  <si>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</si>
  <si>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</si>
  <si>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</si>
  <si>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</si>
  <si>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</si>
  <si>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</si>
  <si>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</si>
  <si>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</si>
  <si>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</si>
  <si>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</si>
  <si>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</si>
  <si>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</si>
  <si>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</si>
  <si>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</si>
  <si>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</si>
  <si>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NOI Requirement</t>
  </si>
  <si>
    <t>Benefits</t>
  </si>
  <si>
    <t>Restating</t>
  </si>
  <si>
    <t>IMPACT ON</t>
  </si>
  <si>
    <t>DIFFERENCE</t>
  </si>
  <si>
    <t>REVENUE REQUIREMENT</t>
  </si>
  <si>
    <t>NOI</t>
  </si>
  <si>
    <t>Item</t>
  </si>
  <si>
    <t>Total Revenue Requirement Difference</t>
  </si>
  <si>
    <t>Comparison of Revenue Requirement Revised Adjustments</t>
  </si>
  <si>
    <t xml:space="preserve">Adjusted Revenue Requirement </t>
  </si>
  <si>
    <t>NET PLANT</t>
  </si>
  <si>
    <t xml:space="preserve">WORKING CAPITAL </t>
  </si>
  <si>
    <t>WORKING CAPITAL</t>
  </si>
  <si>
    <t>flow through</t>
  </si>
  <si>
    <t>Done</t>
  </si>
  <si>
    <t>Not Done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</si>
  <si>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</si>
  <si>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</si>
  <si>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</si>
  <si>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</si>
  <si>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</si>
  <si>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</si>
  <si>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</si>
  <si>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</si>
  <si>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</si>
  <si>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</si>
  <si>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</si>
  <si>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</si>
  <si>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</si>
  <si>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</si>
  <si>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</si>
  <si>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</si>
  <si>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</si>
  <si>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</si>
  <si>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</si>
  <si>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</si>
  <si>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</si>
  <si>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</si>
  <si>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</si>
  <si>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</si>
  <si>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</si>
  <si>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</si>
  <si>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</si>
  <si>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</si>
  <si>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</si>
  <si>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</si>
  <si>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</si>
  <si>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WP Ref</t>
  </si>
  <si>
    <t>Washington - GAS</t>
  </si>
  <si>
    <t>Interest Per Results (G-FIT-12A)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</si>
  <si>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</si>
  <si>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</si>
  <si>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</si>
  <si>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</si>
  <si>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</si>
  <si>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</si>
  <si>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</si>
  <si>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</si>
  <si>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</si>
  <si>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</si>
  <si>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</si>
  <si>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</si>
  <si>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</si>
  <si>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</si>
  <si>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</si>
  <si>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</si>
  <si>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</si>
  <si>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</si>
  <si>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</si>
  <si>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</si>
  <si>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</si>
  <si>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</si>
  <si>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</si>
  <si>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</si>
  <si>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</si>
  <si>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</si>
  <si>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</si>
  <si>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</si>
  <si>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</si>
  <si>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</si>
  <si>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</si>
  <si>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</si>
  <si>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</si>
  <si>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</si>
  <si>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</si>
  <si>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</si>
  <si>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</si>
  <si>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</si>
  <si>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</si>
  <si>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</si>
  <si>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</si>
  <si>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</si>
  <si>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</si>
  <si>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</si>
  <si>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</si>
  <si>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</si>
  <si>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</si>
  <si>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</si>
  <si>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</si>
  <si>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</si>
  <si>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</si>
  <si>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</si>
  <si>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</si>
  <si>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</si>
  <si>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</si>
  <si>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</si>
  <si>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</si>
  <si>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</si>
  <si>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</si>
  <si>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</si>
  <si>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</si>
  <si>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</si>
  <si>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</si>
  <si>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</si>
  <si>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</si>
  <si>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</si>
  <si>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</si>
  <si>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</si>
  <si>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</si>
  <si>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</si>
  <si>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</si>
  <si>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</si>
  <si>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</si>
  <si>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</si>
  <si>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</si>
  <si>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</si>
  <si>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</si>
  <si>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</si>
  <si>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</si>
  <si>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</si>
  <si>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</si>
  <si>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</si>
  <si>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</si>
  <si>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</si>
  <si>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</si>
  <si>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</si>
  <si>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</si>
  <si>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</si>
  <si>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</si>
  <si>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</si>
  <si>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</si>
  <si>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</si>
  <si>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</si>
  <si>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</si>
  <si>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</si>
  <si>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</si>
  <si>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</si>
  <si>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</si>
  <si>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</si>
  <si>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</si>
  <si>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</si>
  <si>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</si>
  <si>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</si>
  <si>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</si>
  <si>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</si>
  <si>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</si>
  <si>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</si>
  <si>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</si>
  <si>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</si>
  <si>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</si>
  <si>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</si>
  <si>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</si>
  <si>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</si>
  <si>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</si>
  <si>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</si>
  <si>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</si>
  <si>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</si>
  <si>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</si>
  <si>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</si>
  <si>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</si>
  <si>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</si>
  <si>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</si>
  <si>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</si>
  <si>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</si>
  <si>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</si>
  <si>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</si>
  <si>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</si>
  <si>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</si>
  <si>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</si>
  <si>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</si>
  <si>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</si>
  <si>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</si>
  <si>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</si>
  <si>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</si>
  <si>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</si>
  <si>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</si>
  <si>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</si>
  <si>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</si>
  <si>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</si>
  <si>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</si>
  <si>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</si>
  <si>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</si>
  <si>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</si>
  <si>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</si>
  <si>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</si>
  <si>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</si>
  <si>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</si>
  <si>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</si>
  <si>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</si>
  <si>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</si>
  <si>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</si>
  <si>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</si>
  <si>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</si>
  <si>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</si>
  <si>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</si>
  <si>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</si>
  <si>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</si>
  <si>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</si>
  <si>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</si>
  <si>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</si>
  <si>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</si>
  <si>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</si>
  <si>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</si>
  <si>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</si>
  <si>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</si>
  <si>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</si>
  <si>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</si>
  <si>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</si>
  <si>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</si>
  <si>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</si>
  <si>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</si>
  <si>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</si>
  <si>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</si>
  <si>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</si>
  <si>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</si>
  <si>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</si>
  <si>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</si>
  <si>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</si>
  <si>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</si>
  <si>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</si>
  <si>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</si>
  <si>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</si>
  <si>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</si>
  <si>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</si>
  <si>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</si>
  <si>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</si>
  <si>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</si>
  <si>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</si>
  <si>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 xml:space="preserve">FIT / </t>
  </si>
  <si>
    <t xml:space="preserve">DFIT </t>
  </si>
  <si>
    <t>Revenue requirement</t>
  </si>
  <si>
    <t>G-RPT</t>
  </si>
  <si>
    <t>G-PPT</t>
  </si>
  <si>
    <t>Working</t>
  </si>
  <si>
    <t>G-WC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</si>
  <si>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</si>
  <si>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</si>
  <si>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</si>
  <si>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</si>
  <si>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</si>
  <si>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</si>
  <si>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</si>
  <si>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</si>
  <si>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>PROPOSED COST OF CAPITAL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</si>
  <si>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</si>
  <si>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</si>
  <si>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</si>
  <si>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</si>
  <si>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</si>
  <si>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</si>
  <si>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</si>
  <si>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</si>
  <si>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</si>
  <si>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</si>
  <si>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</si>
  <si>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</si>
  <si>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</si>
  <si>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</si>
  <si>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</si>
  <si>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</si>
  <si>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</si>
  <si>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</si>
  <si>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</si>
  <si>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</si>
  <si>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</si>
  <si>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</si>
  <si>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</si>
  <si>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</si>
  <si>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 xml:space="preserve">Joel 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</si>
  <si>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</si>
  <si>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</si>
  <si>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</si>
  <si>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</si>
  <si>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</si>
  <si>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</si>
  <si>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</si>
  <si>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</si>
  <si>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</si>
  <si>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IS/IT</t>
  </si>
  <si>
    <t>Employee</t>
  </si>
  <si>
    <t>ACTUAL</t>
  </si>
  <si>
    <t>LEAP Deferral</t>
  </si>
  <si>
    <t>AMA Rate</t>
  </si>
  <si>
    <t>Base to EOP</t>
  </si>
  <si>
    <t>Natural Gas</t>
  </si>
  <si>
    <t>Revenue Conversion Factor Rebuttal</t>
  </si>
  <si>
    <t>Revenue Requirement Rebuttal</t>
  </si>
  <si>
    <t>RESULTS</t>
  </si>
  <si>
    <t xml:space="preserve">  Federal Income Tax @ 21%</t>
  </si>
  <si>
    <t>Requested</t>
  </si>
  <si>
    <t>(000's of</t>
  </si>
  <si>
    <t>Dollars)</t>
  </si>
  <si>
    <t>CALCULATION OF REQUESTED GENERAL REVENUE REQUIREMENT</t>
  </si>
  <si>
    <t>Common</t>
  </si>
  <si>
    <t>Proposed Capital Structure</t>
  </si>
  <si>
    <t>AMI</t>
  </si>
  <si>
    <t>Non-Utility</t>
  </si>
  <si>
    <t>Recurring Expense</t>
  </si>
  <si>
    <t xml:space="preserve">Insurance </t>
  </si>
  <si>
    <t>Open</t>
  </si>
  <si>
    <t>G-PIT</t>
  </si>
  <si>
    <t>G-PINS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</si>
  <si>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</si>
  <si>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</si>
  <si>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</si>
  <si>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</si>
  <si>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</si>
  <si>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</si>
  <si>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</si>
  <si>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</si>
  <si>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</si>
  <si>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</si>
  <si>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</si>
  <si>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</si>
  <si>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</si>
  <si>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</si>
  <si>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</si>
  <si>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</si>
  <si>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</si>
  <si>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Liz</t>
  </si>
  <si>
    <t>Natural Gas Depreciation Study Deferral</t>
  </si>
  <si>
    <t>Regulatory Deferral - AMI</t>
  </si>
  <si>
    <t>AMI Existing Meters/ERTs Deferral A/D</t>
  </si>
  <si>
    <t>G-PAMI</t>
  </si>
  <si>
    <t>Def. Debits, Credits &amp;</t>
  </si>
  <si>
    <t>Regulatory Amorts</t>
  </si>
  <si>
    <t>DFIT</t>
  </si>
  <si>
    <t>G-ARAM</t>
  </si>
  <si>
    <t>G-PRA</t>
  </si>
  <si>
    <t xml:space="preserve">Revenue Requirement </t>
  </si>
  <si>
    <t>PDF x=redo</t>
  </si>
  <si>
    <t>Other</t>
  </si>
  <si>
    <t>CF WA Elec</t>
  </si>
  <si>
    <t xml:space="preserve">Restate </t>
  </si>
  <si>
    <t>Results</t>
  </si>
  <si>
    <t>Total (1)</t>
  </si>
  <si>
    <t>Total (2)</t>
  </si>
  <si>
    <t>CALCULATION OF CONVERSION FACTOR: WASHINGTON GAS</t>
  </si>
  <si>
    <t xml:space="preserve">  Uncollectibles  (1)</t>
  </si>
  <si>
    <t xml:space="preserve">  Commission Fees (2)</t>
  </si>
  <si>
    <t xml:space="preserve">  Washington Excise Tax  (3)</t>
  </si>
  <si>
    <t xml:space="preserve">  Federal Income Tax @</t>
  </si>
  <si>
    <t>Shared Inputs</t>
  </si>
  <si>
    <t>NOTES:</t>
  </si>
  <si>
    <t>(1)  Calculation of Effective Uncollectible Rate:</t>
  </si>
  <si>
    <t xml:space="preserve">       Net Write-Offs *</t>
  </si>
  <si>
    <t>C-UE-1</t>
  </si>
  <si>
    <t xml:space="preserve">         Divided by:</t>
  </si>
  <si>
    <t xml:space="preserve">       Sales to Ultimate Customers + Transport **</t>
  </si>
  <si>
    <t xml:space="preserve">       EFFECTIVE RATE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</si>
  <si>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</si>
  <si>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</si>
  <si>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</si>
  <si>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</si>
  <si>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Multiplied by</t>
  </si>
  <si>
    <t xml:space="preserve">       Uncollectibles Factor:</t>
  </si>
  <si>
    <t xml:space="preserve">         Revenue</t>
  </si>
  <si>
    <t xml:space="preserve">         Less: Effective Uncoll Rate</t>
  </si>
  <si>
    <t xml:space="preserve">     EFFECTIVE RATE</t>
  </si>
  <si>
    <t xml:space="preserve">     *  From Combined Excise Tax Return.</t>
  </si>
  <si>
    <t>Rebuttal Revenue Requirement</t>
  </si>
  <si>
    <t>TWELVE MONTHS ENDED SEPTEMBER 30, 2021</t>
  </si>
  <si>
    <t>Marcus</t>
  </si>
  <si>
    <t>Tia</t>
  </si>
  <si>
    <t xml:space="preserve">Justin </t>
  </si>
  <si>
    <t>Restate 09.2021</t>
  </si>
  <si>
    <t>Regulatory Debit - FISERVE Amortization</t>
  </si>
  <si>
    <t>407347</t>
  </si>
  <si>
    <t>COVID-19 Deferred Costs</t>
  </si>
  <si>
    <t>407407</t>
  </si>
  <si>
    <t>Reg. Credits-Amortization Depreciation Benefit</t>
  </si>
  <si>
    <t>407419</t>
  </si>
  <si>
    <t>Amortization AFUDC Equity Tax Credit</t>
  </si>
  <si>
    <t>407447</t>
  </si>
  <si>
    <t>Regulatory Deferral - COVID-19</t>
  </si>
  <si>
    <t>407493</t>
  </si>
  <si>
    <t>Amortization - 2015 Remand Refund</t>
  </si>
  <si>
    <t>Taxes Other Than FIT--A&amp;G</t>
  </si>
  <si>
    <t>Gas Inventory--Clay Basin</t>
  </si>
  <si>
    <t>Regulatory Liability-Customer Tax Credit</t>
  </si>
  <si>
    <t>ADFIT-Customer Tax Credit</t>
  </si>
  <si>
    <t xml:space="preserve">Pro Form 09.2021 </t>
  </si>
  <si>
    <t>EOP Rate Base</t>
  </si>
  <si>
    <t>to 12.31.2021 EOP</t>
  </si>
  <si>
    <t>Misc</t>
  </si>
  <si>
    <t>O&amp;M Exp</t>
  </si>
  <si>
    <t>Provisional</t>
  </si>
  <si>
    <t>Capital Groups</t>
  </si>
  <si>
    <t>2022 Additions EOP</t>
  </si>
  <si>
    <t>2023 Additions AMA</t>
  </si>
  <si>
    <t>G-PVCap22</t>
  </si>
  <si>
    <t>RY1</t>
  </si>
  <si>
    <t>FINAL</t>
  </si>
  <si>
    <t>2024 Additions AMA</t>
  </si>
  <si>
    <t>G-PEB24</t>
  </si>
  <si>
    <t>G-PINS24</t>
  </si>
  <si>
    <t>G-PPT24</t>
  </si>
  <si>
    <t>G-PMisc24</t>
  </si>
  <si>
    <t>G-PLN24</t>
  </si>
  <si>
    <t>G-PVCap24</t>
  </si>
  <si>
    <t>G-Offsets24</t>
  </si>
  <si>
    <t>G-Offsets23</t>
  </si>
  <si>
    <t>RY2</t>
  </si>
  <si>
    <t>PF-SubTtl</t>
  </si>
  <si>
    <t>INCREMENTAL</t>
  </si>
  <si>
    <t>F-Ttl</t>
  </si>
  <si>
    <t xml:space="preserve">Tia  </t>
  </si>
  <si>
    <t>Per ROO</t>
  </si>
  <si>
    <t>Rate Year 1</t>
  </si>
  <si>
    <t>Rate Year 2</t>
  </si>
  <si>
    <t>Incremental Rate Year 2</t>
  </si>
  <si>
    <t>Rev and</t>
  </si>
  <si>
    <t>g</t>
  </si>
  <si>
    <t>G-EOP09.2021</t>
  </si>
  <si>
    <t>G-EOP12.2021</t>
  </si>
  <si>
    <t>G-PVCap23</t>
  </si>
  <si>
    <t>G-PAMI24</t>
  </si>
  <si>
    <t>G-PMisc</t>
  </si>
  <si>
    <t xml:space="preserve">Remove </t>
  </si>
  <si>
    <t xml:space="preserve">LIRAP </t>
  </si>
  <si>
    <t>G-LIRAP</t>
  </si>
  <si>
    <t>G-PLEAP24</t>
  </si>
  <si>
    <t>G-PLEAP23</t>
  </si>
  <si>
    <t>(2) WUTC fees rate per Regulatory Fee Calculation Schedule, Annual Report Year 2020 dated 04/21/2021</t>
  </si>
  <si>
    <t>E-PAMM</t>
  </si>
  <si>
    <t xml:space="preserve">Other </t>
  </si>
  <si>
    <t>Tia/Marcus</t>
  </si>
  <si>
    <t>RY1 Proposed Increase</t>
  </si>
  <si>
    <t>December 2022 (RY1)</t>
  </si>
  <si>
    <t>Escalation</t>
  </si>
  <si>
    <t>Growth</t>
  </si>
  <si>
    <t>Rate</t>
  </si>
  <si>
    <t xml:space="preserve">NATURAL </t>
  </si>
  <si>
    <t>Trended</t>
  </si>
  <si>
    <t>Non-Energy</t>
  </si>
  <si>
    <t>RY2 Increase</t>
  </si>
  <si>
    <t xml:space="preserve">Non-Energy </t>
  </si>
  <si>
    <t>Base RY2</t>
  </si>
  <si>
    <t>Trended RY2</t>
  </si>
  <si>
    <t>Increase</t>
  </si>
  <si>
    <t>Revenue Conversion Factor</t>
  </si>
  <si>
    <t>Revenue Requirement</t>
  </si>
  <si>
    <t>O&amp;M</t>
  </si>
  <si>
    <t>Taxes OTI</t>
  </si>
  <si>
    <t>UG PIS</t>
  </si>
  <si>
    <t>Distributed PIS</t>
  </si>
  <si>
    <t>General PIS</t>
  </si>
  <si>
    <t>UG A/D</t>
  </si>
  <si>
    <t>Distributed A/D</t>
  </si>
  <si>
    <t>General A/D</t>
  </si>
  <si>
    <t>2014-2020</t>
  </si>
  <si>
    <t>2023 ARAM</t>
  </si>
  <si>
    <t>2024 ARAM</t>
  </si>
  <si>
    <t>G-ARAM24</t>
  </si>
  <si>
    <t>Rate Year December 2023 - December 2024</t>
  </si>
  <si>
    <t>Rate Year December 2022 - December 2023</t>
  </si>
  <si>
    <t>G-TCRL</t>
  </si>
  <si>
    <t xml:space="preserve">Tax Credit Regulatory </t>
  </si>
  <si>
    <t>Liability to EOP</t>
  </si>
  <si>
    <t>2024</t>
  </si>
  <si>
    <t>Year 2 Revenue Requirement Deficiency</t>
  </si>
  <si>
    <t>Rev. Req.</t>
  </si>
  <si>
    <t>Per Escalation</t>
  </si>
  <si>
    <t>Per Pro Forma Study</t>
  </si>
  <si>
    <t>Escalation result greater than Pro Forma Result</t>
  </si>
  <si>
    <t>Add Offsets</t>
  </si>
  <si>
    <t xml:space="preserve">&amp; Revenue </t>
  </si>
  <si>
    <t>Per Pro Forma</t>
  </si>
  <si>
    <t>Non-Exec Labor</t>
  </si>
  <si>
    <t>&amp; Union Incentive</t>
  </si>
  <si>
    <t>Per Miller - 12.15.2021</t>
  </si>
  <si>
    <t>RY 1</t>
  </si>
  <si>
    <t>RY 2</t>
  </si>
  <si>
    <t>.05% Flotation Costs included in ROE, Impact on Revenue Requirement</t>
  </si>
  <si>
    <t>Total WA</t>
  </si>
  <si>
    <t>WA Electric</t>
  </si>
  <si>
    <t>WA Natural Gas</t>
  </si>
  <si>
    <t>Totals</t>
  </si>
  <si>
    <t>2021 Capital to EOP  12.2021</t>
  </si>
  <si>
    <t>Net Rate Base</t>
  </si>
  <si>
    <t>labor, benefit, I/T, property taxes, and Insurance</t>
  </si>
  <si>
    <t>Dec. 2022</t>
  </si>
  <si>
    <t>December 2022 RY1</t>
  </si>
  <si>
    <t>Pro Forma 12.2022</t>
  </si>
  <si>
    <t>12.2022</t>
  </si>
  <si>
    <t>December 2023 RY2</t>
  </si>
  <si>
    <t>WITH 12.2022 PROPOSED RATES</t>
  </si>
  <si>
    <t>WITH 12.2023 PROPOSED RATES</t>
  </si>
  <si>
    <t>12.2023</t>
  </si>
  <si>
    <t>12.2022 Proposed</t>
  </si>
  <si>
    <t>12.2023 Proposed</t>
  </si>
  <si>
    <t>12.2023 Pro Forma</t>
  </si>
  <si>
    <t>Pro Forma Adjustments - 12.2023 - 12.2024</t>
  </si>
  <si>
    <t xml:space="preserve">     Pro Forma Study Ending 12.2023</t>
  </si>
  <si>
    <t xml:space="preserve">     Pro Forma Study Ending 12.2024</t>
  </si>
  <si>
    <t>Incremental 12.2024</t>
  </si>
  <si>
    <t>As Filed</t>
  </si>
  <si>
    <t xml:space="preserve">Impact of ROE reduced to </t>
  </si>
  <si>
    <t>Pro Forma Adjustments - 09.2021 - 12.2023</t>
  </si>
  <si>
    <t xml:space="preserve"> 12.2023 Pro Forma Total</t>
  </si>
  <si>
    <t xml:space="preserve"> 12.2024 Pro Forma Total</t>
  </si>
  <si>
    <t>Impact of ROE reduced to x%</t>
  </si>
  <si>
    <t>Filed Revenue Requirement</t>
  </si>
  <si>
    <t>FOR INFORMATIONAL PURPOSES ONLY - CROSS CHECK TO RY2 PRO FORMA STUDY 
RY2 VALUES USING GROWTH ESCALATIONS</t>
  </si>
  <si>
    <t>RY1 Pro Forma Revenue Requirement</t>
  </si>
  <si>
    <t>2024 AMI</t>
  </si>
  <si>
    <t xml:space="preserve">See Capital Model for Project Groupings: 
1) Large/Distinct, 
2) Programmatic,  
3) Short-Lived, &amp;
4) Compliance </t>
  </si>
  <si>
    <t xml:space="preserve">O&amp;M Offsets </t>
  </si>
  <si>
    <t>2022-2023</t>
  </si>
  <si>
    <t>Capital O&amp;M</t>
  </si>
  <si>
    <t>Offsets &amp; Revenue</t>
  </si>
  <si>
    <t>Prov. 2024 Capital</t>
  </si>
  <si>
    <t>Dec. 2023</t>
  </si>
  <si>
    <t>Dec.2023-I</t>
  </si>
  <si>
    <t>h</t>
  </si>
  <si>
    <t>&amp;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</si>
</sst>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_(* #,##0_);_(* \(#,##0\);_(* &quot;-&quot;??_);_(@_)"/>
    <numFmt numFmtId="172" formatCode="_(&quot;$&quot;* #,##0_);_(&quot;$&quot;* \(#,##0\);_(&quot;$&quot;* &quot;-&quot;??_);_(@_)"/>
    <numFmt numFmtId="173" formatCode="0000.00"/>
    <numFmt numFmtId="174" formatCode="0000"/>
    <numFmt numFmtId="175" formatCode="_(* #,##0.00000_);_(* \(#,##0.00000\);_(* &quot;-&quot;_);_(@_)"/>
    <numFmt numFmtId="176" formatCode="_(* #,##0.000000_);_(* \(#,##0.000000\);_(* &quot;-&quot;_);_(@_)"/>
    <numFmt numFmtId="177" formatCode="_(* #,##0.000000_);_(* \(#,##0.000000\);_(* &quot;-&quot;??_);_(@_)"/>
    <numFmt numFmtId="178" formatCode="0.00000"/>
    <numFmt numFmtId="179" formatCode="0.0000%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10"/>
      <name val="Tms Rmn"/>
    </font>
    <font>
      <sz val="10"/>
      <name val="Courier"/>
      <family val="3"/>
    </font>
    <font>
      <sz val="9"/>
      <name val="Courier"/>
    </font>
    <font>
      <sz val="9"/>
      <name val="Courier"/>
      <family val="3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8"/>
      <name val="LinePrinter"/>
    </font>
    <font>
      <sz val="10"/>
      <color rgb="FF0033CC"/>
      <name val="Times New Roman"/>
      <family val="1"/>
    </font>
    <font>
      <sz val="12"/>
      <color rgb="FFFF0000"/>
      <name val="Times New Roman"/>
      <family val="1"/>
    </font>
    <font>
      <u/>
      <sz val="10"/>
      <color rgb="FF0000FF"/>
      <name val="Times New Roman"/>
      <family val="1"/>
    </font>
    <font>
      <b/>
      <u/>
      <sz val="9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Courier"/>
    </font>
    <font>
      <b/>
      <sz val="8"/>
      <name val="Times New Roman"/>
      <family val="1"/>
    </font>
    <font>
      <sz val="9"/>
      <name val="Calibri"/>
      <family val="2"/>
    </font>
    <font>
      <b/>
      <u val="singleAccounting"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rgb="FFFF0000"/>
      <name val="Times New Roman"/>
      <family val="1"/>
    </font>
    <font>
      <b/>
      <u val="doubleAccounting"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20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9" fillId="0" borderId="0"/>
    <xf numFmtId="44" fontId="6" fillId="0" borderId="0" applyFont="0" applyFill="0" applyBorder="0" applyAlignment="0" applyProtection="0"/>
    <xf numFmtId="0" fontId="44" fillId="3" borderId="0"/>
    <xf numFmtId="0" fontId="2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39" fillId="0" borderId="0"/>
    <xf numFmtId="43" fontId="48" fillId="0" borderId="0" applyFont="0" applyFill="0" applyBorder="0" applyAlignment="0" applyProtection="0"/>
    <xf numFmtId="0" fontId="39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5" fillId="0" borderId="0"/>
    <xf numFmtId="43" fontId="6" fillId="0" borderId="0" applyFont="0" applyFill="0" applyBorder="0" applyAlignment="0" applyProtection="0"/>
    <xf numFmtId="8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5" fillId="0" borderId="0"/>
    <xf numFmtId="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2" fillId="0" borderId="0"/>
    <xf numFmtId="44" fontId="65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6" fillId="0" borderId="0"/>
    <xf numFmtId="39" fontId="66" fillId="0" borderId="0"/>
    <xf numFmtId="0" fontId="67" fillId="0" borderId="0"/>
    <xf numFmtId="9" fontId="68" fillId="0" borderId="0" applyFont="0" applyFill="0" applyBorder="0" applyAlignment="0" applyProtection="0"/>
    <xf numFmtId="0" fontId="65" fillId="0" borderId="0"/>
    <xf numFmtId="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48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9" fillId="0" borderId="0"/>
    <xf numFmtId="44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70" fillId="0" borderId="0"/>
    <xf numFmtId="9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0" fontId="7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70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2" fillId="0" borderId="0"/>
    <xf numFmtId="0" fontId="5" fillId="0" borderId="0"/>
    <xf numFmtId="44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5" fillId="0" borderId="0"/>
    <xf numFmtId="0" fontId="7" fillId="0" borderId="0"/>
    <xf numFmtId="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0" borderId="0"/>
    <xf numFmtId="43" fontId="48" fillId="0" borderId="0" applyFont="0" applyFill="0" applyBorder="0" applyAlignment="0" applyProtection="0"/>
    <xf numFmtId="0" fontId="6" fillId="0" borderId="0"/>
    <xf numFmtId="0" fontId="69" fillId="0" borderId="0"/>
    <xf numFmtId="44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70" fillId="0" borderId="0"/>
    <xf numFmtId="0" fontId="80" fillId="0" borderId="0"/>
    <xf numFmtId="0" fontId="66" fillId="0" borderId="0"/>
    <xf numFmtId="8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0" fontId="6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72" fillId="0" borderId="0"/>
    <xf numFmtId="0" fontId="2" fillId="0" borderId="0"/>
    <xf numFmtId="44" fontId="2" fillId="0" borderId="0" applyFont="0" applyFill="0" applyBorder="0" applyAlignment="0" applyProtection="0"/>
    <xf numFmtId="44" fontId="65" fillId="0" borderId="0" applyFont="0" applyFill="0" applyBorder="0" applyAlignment="0" applyProtection="0"/>
    <xf numFmtId="39" fontId="6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48" fillId="0" borderId="0" applyFont="0" applyFill="0" applyBorder="0" applyAlignment="0" applyProtection="0"/>
    <xf numFmtId="0" fontId="67" fillId="0" borderId="0"/>
    <xf numFmtId="44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65" fillId="0" borderId="0"/>
    <xf numFmtId="0" fontId="65" fillId="0" borderId="0"/>
    <xf numFmtId="44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1">
    <xf numFmtId="0" fontId="0" fillId="0" borderId="0" xfId="0"/>
    <xf numFmtId="0" fontId="8" fillId="0" borderId="0" xfId="6" applyFont="1"/>
    <xf numFmtId="5" fontId="8" fillId="0" borderId="0" xfId="6" applyNumberFormat="1" applyFont="1"/>
    <xf numFmtId="37" fontId="8" fillId="0" borderId="0" xfId="6" applyNumberFormat="1" applyFont="1"/>
    <xf numFmtId="0" fontId="8" fillId="0" borderId="0" xfId="6" applyNumberFormat="1" applyFont="1" applyBorder="1" applyAlignment="1">
      <alignment horizontal="center"/>
    </xf>
    <xf numFmtId="37" fontId="8" fillId="0" borderId="0" xfId="6" applyNumberFormat="1" applyFont="1" applyBorder="1"/>
    <xf numFmtId="10" fontId="8" fillId="0" borderId="0" xfId="7" applyNumberFormat="1" applyFont="1"/>
    <xf numFmtId="0" fontId="9" fillId="0" borderId="0" xfId="0" applyFont="1"/>
    <xf numFmtId="0" fontId="12" fillId="0" borderId="0" xfId="0" applyFont="1" applyAlignment="1">
      <alignment horizontal="center"/>
    </xf>
    <xf numFmtId="37" fontId="8" fillId="0" borderId="0" xfId="0" applyNumberFormat="1" applyFont="1"/>
    <xf numFmtId="5" fontId="16" fillId="0" borderId="12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5" fontId="8" fillId="0" borderId="0" xfId="0" applyNumberFormat="1" applyFont="1"/>
    <xf numFmtId="0" fontId="13" fillId="0" borderId="0" xfId="0" applyFont="1" applyBorder="1"/>
    <xf numFmtId="37" fontId="13" fillId="0" borderId="0" xfId="0" applyNumberFormat="1" applyFont="1" applyBorder="1"/>
    <xf numFmtId="0" fontId="13" fillId="0" borderId="10" xfId="0" applyFont="1" applyBorder="1" applyAlignment="1">
      <alignment horizontal="center"/>
    </xf>
    <xf numFmtId="6" fontId="13" fillId="0" borderId="0" xfId="2" applyNumberFormat="1" applyFont="1" applyBorder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17" fillId="0" borderId="0" xfId="0" applyFont="1"/>
    <xf numFmtId="5" fontId="17" fillId="0" borderId="0" xfId="0" applyNumberFormat="1" applyFont="1"/>
    <xf numFmtId="37" fontId="13" fillId="0" borderId="3" xfId="0" applyNumberFormat="1" applyFont="1" applyBorder="1"/>
    <xf numFmtId="3" fontId="13" fillId="0" borderId="0" xfId="0" applyNumberFormat="1" applyFont="1"/>
    <xf numFmtId="5" fontId="13" fillId="0" borderId="0" xfId="0" applyNumberFormat="1" applyFont="1"/>
    <xf numFmtId="0" fontId="13" fillId="0" borderId="0" xfId="0" applyFont="1" applyFill="1" applyAlignment="1">
      <alignment horizontal="center"/>
    </xf>
    <xf numFmtId="5" fontId="13" fillId="0" borderId="16" xfId="0" applyNumberFormat="1" applyFont="1" applyBorder="1"/>
    <xf numFmtId="37" fontId="17" fillId="0" borderId="0" xfId="0" applyNumberFormat="1" applyFont="1"/>
    <xf numFmtId="0" fontId="17" fillId="0" borderId="0" xfId="0" applyFont="1" applyBorder="1"/>
    <xf numFmtId="0" fontId="18" fillId="0" borderId="0" xfId="0" applyFont="1"/>
    <xf numFmtId="0" fontId="18" fillId="0" borderId="0" xfId="0" applyFont="1" applyBorder="1"/>
    <xf numFmtId="3" fontId="8" fillId="0" borderId="0" xfId="6" applyNumberFormat="1" applyFont="1"/>
    <xf numFmtId="168" fontId="8" fillId="0" borderId="0" xfId="6" applyNumberFormat="1" applyFont="1"/>
    <xf numFmtId="170" fontId="8" fillId="0" borderId="0" xfId="7" applyNumberFormat="1" applyFont="1" applyBorder="1"/>
    <xf numFmtId="0" fontId="8" fillId="0" borderId="0" xfId="5" applyFont="1"/>
    <xf numFmtId="0" fontId="8" fillId="0" borderId="0" xfId="5" applyNumberFormat="1" applyFont="1" applyAlignment="1">
      <alignment horizontal="center"/>
    </xf>
    <xf numFmtId="0" fontId="10" fillId="0" borderId="0" xfId="5" applyNumberFormat="1" applyFont="1" applyAlignment="1">
      <alignment horizontal="center"/>
    </xf>
    <xf numFmtId="0" fontId="10" fillId="0" borderId="0" xfId="5" applyFont="1" applyAlignment="1">
      <alignment horizontal="center"/>
    </xf>
    <xf numFmtId="3" fontId="10" fillId="0" borderId="14" xfId="0" applyNumberFormat="1" applyFont="1" applyBorder="1" applyAlignment="1">
      <alignment horizontal="centerContinuous"/>
    </xf>
    <xf numFmtId="0" fontId="10" fillId="0" borderId="1" xfId="5" applyNumberFormat="1" applyFont="1" applyBorder="1" applyAlignment="1">
      <alignment horizontal="center"/>
    </xf>
    <xf numFmtId="0" fontId="10" fillId="0" borderId="2" xfId="5" applyNumberFormat="1" applyFont="1" applyBorder="1" applyAlignment="1">
      <alignment horizontal="center"/>
    </xf>
    <xf numFmtId="0" fontId="10" fillId="0" borderId="2" xfId="5" applyFont="1" applyBorder="1" applyAlignment="1">
      <alignment horizontal="center"/>
    </xf>
    <xf numFmtId="0" fontId="10" fillId="0" borderId="3" xfId="5" applyFont="1" applyBorder="1" applyAlignment="1">
      <alignment horizontal="center"/>
    </xf>
    <xf numFmtId="0" fontId="10" fillId="0" borderId="4" xfId="5" applyFont="1" applyBorder="1" applyAlignment="1">
      <alignment horizontal="center"/>
    </xf>
    <xf numFmtId="0" fontId="10" fillId="0" borderId="5" xfId="5" applyNumberFormat="1" applyFont="1" applyBorder="1" applyAlignment="1">
      <alignment horizontal="center"/>
    </xf>
    <xf numFmtId="0" fontId="10" fillId="0" borderId="6" xfId="5" applyNumberFormat="1" applyFont="1" applyBorder="1" applyAlignment="1">
      <alignment horizontal="center"/>
    </xf>
    <xf numFmtId="0" fontId="10" fillId="0" borderId="6" xfId="5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0" fontId="10" fillId="0" borderId="7" xfId="5" applyFont="1" applyBorder="1" applyAlignment="1">
      <alignment horizontal="center"/>
    </xf>
    <xf numFmtId="0" fontId="10" fillId="0" borderId="8" xfId="5" applyNumberFormat="1" applyFont="1" applyBorder="1" applyAlignment="1">
      <alignment horizontal="center"/>
    </xf>
    <xf numFmtId="0" fontId="10" fillId="0" borderId="9" xfId="5" applyNumberFormat="1" applyFont="1" applyBorder="1" applyAlignment="1">
      <alignment horizontal="center"/>
    </xf>
    <xf numFmtId="0" fontId="10" fillId="0" borderId="9" xfId="5" applyFont="1" applyBorder="1" applyAlignment="1">
      <alignment horizontal="center"/>
    </xf>
    <xf numFmtId="0" fontId="10" fillId="0" borderId="10" xfId="5" applyFont="1" applyBorder="1" applyAlignment="1">
      <alignment horizontal="center"/>
    </xf>
    <xf numFmtId="0" fontId="10" fillId="0" borderId="11" xfId="5" applyFont="1" applyBorder="1" applyAlignment="1">
      <alignment horizontal="center"/>
    </xf>
    <xf numFmtId="0" fontId="11" fillId="0" borderId="0" xfId="5" applyNumberFormat="1" applyFont="1" applyAlignment="1">
      <alignment horizontal="center"/>
    </xf>
    <xf numFmtId="0" fontId="11" fillId="0" borderId="0" xfId="5" applyFont="1" applyAlignment="1">
      <alignment horizontal="center"/>
    </xf>
    <xf numFmtId="10" fontId="8" fillId="0" borderId="0" xfId="6" applyNumberFormat="1" applyFont="1"/>
    <xf numFmtId="37" fontId="8" fillId="0" borderId="0" xfId="5" applyNumberFormat="1" applyFont="1" applyBorder="1" applyAlignment="1">
      <alignment horizontal="center"/>
    </xf>
    <xf numFmtId="0" fontId="8" fillId="0" borderId="0" xfId="5" applyFont="1" applyBorder="1"/>
    <xf numFmtId="37" fontId="8" fillId="0" borderId="12" xfId="6" applyNumberFormat="1" applyFont="1" applyBorder="1"/>
    <xf numFmtId="171" fontId="8" fillId="0" borderId="0" xfId="1" applyNumberFormat="1" applyFont="1"/>
    <xf numFmtId="169" fontId="14" fillId="0" borderId="0" xfId="0" applyNumberFormat="1" applyFont="1" applyAlignment="1">
      <alignment horizontal="center"/>
    </xf>
    <xf numFmtId="169" fontId="23" fillId="0" borderId="0" xfId="0" applyNumberFormat="1" applyFont="1"/>
    <xf numFmtId="14" fontId="23" fillId="0" borderId="0" xfId="0" applyNumberFormat="1" applyFont="1"/>
    <xf numFmtId="0" fontId="23" fillId="0" borderId="0" xfId="0" applyFont="1"/>
    <xf numFmtId="169" fontId="23" fillId="0" borderId="0" xfId="0" applyNumberFormat="1" applyFont="1" applyAlignment="1">
      <alignment horizontal="right"/>
    </xf>
    <xf numFmtId="169" fontId="13" fillId="0" borderId="0" xfId="0" applyNumberFormat="1" applyFont="1"/>
    <xf numFmtId="169" fontId="24" fillId="0" borderId="0" xfId="0" applyNumberFormat="1" applyFont="1" applyAlignment="1">
      <alignment horizontal="center"/>
    </xf>
    <xf numFmtId="5" fontId="13" fillId="0" borderId="0" xfId="1" applyNumberFormat="1" applyFont="1"/>
    <xf numFmtId="171" fontId="13" fillId="0" borderId="0" xfId="1" applyNumberFormat="1" applyFont="1"/>
    <xf numFmtId="171" fontId="13" fillId="0" borderId="15" xfId="1" applyNumberFormat="1" applyFont="1" applyBorder="1"/>
    <xf numFmtId="171" fontId="13" fillId="0" borderId="0" xfId="1" applyNumberFormat="1" applyFont="1" applyBorder="1"/>
    <xf numFmtId="171" fontId="13" fillId="0" borderId="10" xfId="1" applyNumberFormat="1" applyFont="1" applyBorder="1"/>
    <xf numFmtId="164" fontId="13" fillId="0" borderId="12" xfId="1" applyNumberFormat="1" applyFont="1" applyBorder="1"/>
    <xf numFmtId="0" fontId="21" fillId="0" borderId="0" xfId="0" applyFont="1"/>
    <xf numFmtId="10" fontId="20" fillId="0" borderId="0" xfId="7" applyNumberFormat="1" applyFont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/>
    <xf numFmtId="0" fontId="17" fillId="0" borderId="0" xfId="0" applyFont="1" applyFill="1"/>
    <xf numFmtId="37" fontId="17" fillId="0" borderId="0" xfId="0" applyNumberFormat="1" applyFont="1" applyFill="1"/>
    <xf numFmtId="0" fontId="13" fillId="0" borderId="0" xfId="0" applyFont="1" applyFill="1" applyBorder="1"/>
    <xf numFmtId="0" fontId="13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3" fontId="27" fillId="0" borderId="0" xfId="0" applyNumberFormat="1" applyFont="1" applyFill="1"/>
    <xf numFmtId="3" fontId="8" fillId="0" borderId="0" xfId="0" applyNumberFormat="1" applyFont="1" applyFill="1"/>
    <xf numFmtId="0" fontId="13" fillId="0" borderId="15" xfId="0" applyFont="1" applyBorder="1"/>
    <xf numFmtId="10" fontId="13" fillId="0" borderId="15" xfId="0" applyNumberFormat="1" applyFont="1" applyBorder="1"/>
    <xf numFmtId="5" fontId="19" fillId="0" borderId="0" xfId="0" applyNumberFormat="1" applyFont="1"/>
    <xf numFmtId="37" fontId="19" fillId="0" borderId="0" xfId="0" applyNumberFormat="1" applyFont="1"/>
    <xf numFmtId="0" fontId="28" fillId="0" borderId="0" xfId="0" applyFont="1"/>
    <xf numFmtId="5" fontId="20" fillId="0" borderId="0" xfId="0" applyNumberFormat="1" applyFont="1"/>
    <xf numFmtId="0" fontId="13" fillId="0" borderId="0" xfId="0" applyFont="1" applyAlignment="1">
      <alignment horizontal="right"/>
    </xf>
    <xf numFmtId="5" fontId="13" fillId="0" borderId="12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/>
    <xf numFmtId="169" fontId="14" fillId="0" borderId="0" xfId="0" applyNumberFormat="1" applyFont="1" applyAlignment="1"/>
    <xf numFmtId="0" fontId="14" fillId="0" borderId="0" xfId="0" applyFont="1" applyAlignment="1">
      <alignment horizontal="centerContinuous"/>
    </xf>
    <xf numFmtId="0" fontId="29" fillId="0" borderId="0" xfId="0" applyFont="1" applyFill="1"/>
    <xf numFmtId="0" fontId="30" fillId="0" borderId="0" xfId="0" applyFont="1" applyFill="1" applyBorder="1" applyAlignment="1">
      <alignment horizontal="center"/>
    </xf>
    <xf numFmtId="5" fontId="29" fillId="0" borderId="0" xfId="0" applyNumberFormat="1" applyFont="1" applyFill="1" applyBorder="1"/>
    <xf numFmtId="0" fontId="30" fillId="0" borderId="0" xfId="0" applyFont="1" applyFill="1" applyBorder="1"/>
    <xf numFmtId="0" fontId="31" fillId="0" borderId="0" xfId="0" applyFont="1" applyAlignment="1">
      <alignment horizontal="center"/>
    </xf>
    <xf numFmtId="5" fontId="13" fillId="0" borderId="0" xfId="0" applyNumberFormat="1" applyFont="1" applyBorder="1" applyAlignment="1">
      <alignment horizontal="right"/>
    </xf>
    <xf numFmtId="3" fontId="8" fillId="0" borderId="0" xfId="0" applyNumberFormat="1" applyFont="1"/>
    <xf numFmtId="0" fontId="8" fillId="0" borderId="0" xfId="6" applyNumberFormat="1" applyFont="1" applyAlignment="1">
      <alignment horizontal="center"/>
    </xf>
    <xf numFmtId="37" fontId="13" fillId="0" borderId="0" xfId="0" applyNumberFormat="1" applyFont="1"/>
    <xf numFmtId="16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5" fontId="8" fillId="0" borderId="16" xfId="0" applyNumberFormat="1" applyFont="1" applyBorder="1"/>
    <xf numFmtId="0" fontId="17" fillId="0" borderId="0" xfId="0" applyFont="1" applyFill="1" applyBorder="1"/>
    <xf numFmtId="5" fontId="13" fillId="0" borderId="0" xfId="0" applyNumberFormat="1" applyFont="1" applyFill="1" applyBorder="1"/>
    <xf numFmtId="5" fontId="14" fillId="0" borderId="0" xfId="0" applyNumberFormat="1" applyFont="1" applyFill="1" applyBorder="1"/>
    <xf numFmtId="10" fontId="13" fillId="0" borderId="0" xfId="0" applyNumberFormat="1" applyFont="1" applyFill="1" applyBorder="1"/>
    <xf numFmtId="171" fontId="13" fillId="0" borderId="0" xfId="1" applyNumberFormat="1" applyFont="1" applyFill="1" applyBorder="1"/>
    <xf numFmtId="171" fontId="13" fillId="0" borderId="0" xfId="0" applyNumberFormat="1" applyFont="1" applyFill="1" applyBorder="1"/>
    <xf numFmtId="3" fontId="34" fillId="0" borderId="0" xfId="0" applyNumberFormat="1" applyFont="1"/>
    <xf numFmtId="3" fontId="35" fillId="0" borderId="0" xfId="6" applyNumberFormat="1" applyFont="1" applyFill="1"/>
    <xf numFmtId="3" fontId="35" fillId="0" borderId="0" xfId="5" applyNumberFormat="1" applyFont="1" applyFill="1"/>
    <xf numFmtId="0" fontId="35" fillId="0" borderId="0" xfId="6" applyNumberFormat="1" applyFont="1" applyAlignment="1">
      <alignment horizontal="left"/>
    </xf>
    <xf numFmtId="0" fontId="35" fillId="0" borderId="0" xfId="6" applyFont="1"/>
    <xf numFmtId="3" fontId="37" fillId="0" borderId="0" xfId="6" applyNumberFormat="1" applyFont="1" applyFill="1"/>
    <xf numFmtId="3" fontId="35" fillId="0" borderId="0" xfId="6" applyNumberFormat="1" applyFont="1"/>
    <xf numFmtId="3" fontId="36" fillId="0" borderId="0" xfId="6" applyNumberFormat="1" applyFont="1"/>
    <xf numFmtId="3" fontId="38" fillId="0" borderId="0" xfId="6" applyNumberFormat="1" applyFont="1"/>
    <xf numFmtId="3" fontId="36" fillId="0" borderId="0" xfId="6" applyNumberFormat="1" applyFont="1" applyAlignment="1"/>
    <xf numFmtId="0" fontId="36" fillId="0" borderId="0" xfId="6" applyNumberFormat="1" applyFont="1" applyAlignment="1">
      <alignment horizontal="center"/>
    </xf>
    <xf numFmtId="0" fontId="36" fillId="0" borderId="0" xfId="6" applyFont="1" applyAlignment="1">
      <alignment horizontal="center"/>
    </xf>
    <xf numFmtId="3" fontId="36" fillId="0" borderId="0" xfId="6" applyNumberFormat="1" applyFont="1" applyAlignment="1">
      <alignment horizontal="center"/>
    </xf>
    <xf numFmtId="0" fontId="36" fillId="0" borderId="1" xfId="6" applyNumberFormat="1" applyFont="1" applyBorder="1" applyAlignment="1">
      <alignment horizontal="center"/>
    </xf>
    <xf numFmtId="0" fontId="36" fillId="0" borderId="2" xfId="6" applyFont="1" applyBorder="1" applyAlignment="1">
      <alignment horizontal="center"/>
    </xf>
    <xf numFmtId="0" fontId="36" fillId="0" borderId="3" xfId="6" applyFont="1" applyBorder="1" applyAlignment="1">
      <alignment horizontal="center"/>
    </xf>
    <xf numFmtId="0" fontId="35" fillId="0" borderId="4" xfId="6" applyFont="1" applyBorder="1"/>
    <xf numFmtId="3" fontId="36" fillId="0" borderId="1" xfId="6" applyNumberFormat="1" applyFont="1" applyBorder="1" applyAlignment="1">
      <alignment horizontal="center"/>
    </xf>
    <xf numFmtId="0" fontId="36" fillId="0" borderId="5" xfId="6" applyNumberFormat="1" applyFont="1" applyBorder="1" applyAlignment="1">
      <alignment horizontal="center"/>
    </xf>
    <xf numFmtId="0" fontId="36" fillId="0" borderId="6" xfId="6" applyFont="1" applyBorder="1" applyAlignment="1">
      <alignment horizontal="center"/>
    </xf>
    <xf numFmtId="0" fontId="36" fillId="0" borderId="0" xfId="6" applyFont="1" applyBorder="1" applyAlignment="1">
      <alignment horizontal="center"/>
    </xf>
    <xf numFmtId="0" fontId="35" fillId="0" borderId="7" xfId="6" applyFont="1" applyBorder="1"/>
    <xf numFmtId="3" fontId="36" fillId="0" borderId="5" xfId="6" applyNumberFormat="1" applyFont="1" applyBorder="1" applyAlignment="1">
      <alignment horizontal="center"/>
    </xf>
    <xf numFmtId="0" fontId="36" fillId="0" borderId="8" xfId="6" applyNumberFormat="1" applyFont="1" applyBorder="1" applyAlignment="1">
      <alignment horizontal="center"/>
    </xf>
    <xf numFmtId="0" fontId="36" fillId="0" borderId="9" xfId="6" applyFont="1" applyBorder="1" applyAlignment="1">
      <alignment horizontal="center"/>
    </xf>
    <xf numFmtId="0" fontId="36" fillId="0" borderId="10" xfId="6" applyFont="1" applyBorder="1" applyAlignment="1">
      <alignment horizontal="center"/>
    </xf>
    <xf numFmtId="0" fontId="36" fillId="0" borderId="11" xfId="6" applyFont="1" applyBorder="1" applyAlignment="1">
      <alignment horizontal="center"/>
    </xf>
    <xf numFmtId="3" fontId="36" fillId="0" borderId="8" xfId="6" applyNumberFormat="1" applyFont="1" applyBorder="1" applyAlignment="1">
      <alignment horizontal="center"/>
    </xf>
    <xf numFmtId="0" fontId="35" fillId="0" borderId="0" xfId="6" applyNumberFormat="1" applyFont="1" applyAlignment="1">
      <alignment horizontal="center"/>
    </xf>
    <xf numFmtId="5" fontId="35" fillId="0" borderId="0" xfId="6" applyNumberFormat="1" applyFont="1"/>
    <xf numFmtId="37" fontId="35" fillId="0" borderId="0" xfId="6" applyNumberFormat="1" applyFont="1"/>
    <xf numFmtId="0" fontId="35" fillId="0" borderId="0" xfId="6" applyNumberFormat="1" applyFont="1" applyBorder="1" applyAlignment="1">
      <alignment horizontal="center"/>
    </xf>
    <xf numFmtId="37" fontId="35" fillId="0" borderId="0" xfId="6" applyNumberFormat="1" applyFont="1" applyBorder="1"/>
    <xf numFmtId="0" fontId="35" fillId="0" borderId="0" xfId="6" applyFont="1" applyBorder="1"/>
    <xf numFmtId="0" fontId="35" fillId="0" borderId="0" xfId="6" applyNumberFormat="1" applyFont="1" applyFill="1" applyAlignment="1">
      <alignment horizontal="left"/>
    </xf>
    <xf numFmtId="0" fontId="35" fillId="0" borderId="0" xfId="6" applyFont="1" applyFill="1"/>
    <xf numFmtId="0" fontId="35" fillId="0" borderId="0" xfId="5" applyFont="1" applyFill="1"/>
    <xf numFmtId="10" fontId="35" fillId="0" borderId="0" xfId="7" applyNumberFormat="1" applyFont="1" applyFill="1"/>
    <xf numFmtId="0" fontId="35" fillId="0" borderId="0" xfId="6" applyNumberFormat="1" applyFont="1" applyFill="1" applyAlignment="1">
      <alignment horizontal="center"/>
    </xf>
    <xf numFmtId="0" fontId="35" fillId="0" borderId="0" xfId="5" applyFont="1" applyFill="1" applyAlignment="1">
      <alignment horizontal="right"/>
    </xf>
    <xf numFmtId="10" fontId="29" fillId="0" borderId="0" xfId="7" applyNumberFormat="1" applyFont="1" applyFill="1" applyBorder="1"/>
    <xf numFmtId="0" fontId="29" fillId="0" borderId="0" xfId="0" applyFont="1" applyFill="1" applyBorder="1"/>
    <xf numFmtId="37" fontId="29" fillId="0" borderId="0" xfId="3" applyNumberFormat="1" applyFont="1" applyFill="1" applyBorder="1"/>
    <xf numFmtId="0" fontId="35" fillId="0" borderId="0" xfId="6" applyFont="1" applyAlignment="1">
      <alignment horizontal="left"/>
    </xf>
    <xf numFmtId="4" fontId="36" fillId="0" borderId="0" xfId="6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3" fillId="0" borderId="0" xfId="0" applyNumberFormat="1" applyFont="1" applyFill="1" applyAlignment="1">
      <alignment horizontal="center"/>
    </xf>
    <xf numFmtId="41" fontId="35" fillId="0" borderId="0" xfId="6" applyNumberFormat="1" applyFont="1"/>
    <xf numFmtId="41" fontId="35" fillId="0" borderId="10" xfId="6" applyNumberFormat="1" applyFont="1" applyBorder="1"/>
    <xf numFmtId="41" fontId="35" fillId="0" borderId="0" xfId="6" applyNumberFormat="1" applyFont="1" applyFill="1"/>
    <xf numFmtId="41" fontId="35" fillId="0" borderId="15" xfId="6" applyNumberFormat="1" applyFont="1" applyBorder="1"/>
    <xf numFmtId="41" fontId="35" fillId="0" borderId="0" xfId="6" applyNumberFormat="1" applyFont="1" applyBorder="1"/>
    <xf numFmtId="41" fontId="35" fillId="0" borderId="0" xfId="5" applyNumberFormat="1" applyFont="1" applyFill="1"/>
    <xf numFmtId="41" fontId="40" fillId="0" borderId="0" xfId="5" applyNumberFormat="1" applyFont="1" applyFill="1"/>
    <xf numFmtId="41" fontId="8" fillId="0" borderId="0" xfId="5" applyNumberFormat="1" applyFont="1" applyFill="1"/>
    <xf numFmtId="3" fontId="13" fillId="0" borderId="0" xfId="13" applyNumberFormat="1" applyFont="1"/>
    <xf numFmtId="4" fontId="13" fillId="0" borderId="0" xfId="13" applyNumberFormat="1" applyFont="1" applyBorder="1" applyAlignment="1">
      <alignment horizontal="centerContinuous"/>
    </xf>
    <xf numFmtId="3" fontId="13" fillId="0" borderId="0" xfId="13" applyNumberFormat="1" applyFont="1" applyBorder="1" applyAlignment="1">
      <alignment horizontal="left"/>
    </xf>
    <xf numFmtId="3" fontId="13" fillId="0" borderId="0" xfId="13" applyNumberFormat="1" applyFont="1" applyBorder="1" applyAlignment="1">
      <alignment horizontal="centerContinuous"/>
    </xf>
    <xf numFmtId="0" fontId="13" fillId="0" borderId="0" xfId="13" applyFont="1" applyBorder="1" applyAlignment="1">
      <alignment horizontal="centerContinuous"/>
    </xf>
    <xf numFmtId="3" fontId="13" fillId="0" borderId="0" xfId="13" applyNumberFormat="1" applyFont="1" applyAlignment="1">
      <alignment horizontal="center"/>
    </xf>
    <xf numFmtId="4" fontId="13" fillId="0" borderId="0" xfId="13" applyNumberFormat="1" applyFont="1" applyAlignment="1">
      <alignment horizontal="center"/>
    </xf>
    <xf numFmtId="3" fontId="13" fillId="0" borderId="0" xfId="13" applyNumberFormat="1" applyFont="1" applyAlignment="1">
      <alignment horizontal="left"/>
    </xf>
    <xf numFmtId="0" fontId="13" fillId="0" borderId="0" xfId="13" applyFont="1"/>
    <xf numFmtId="0" fontId="13" fillId="0" borderId="0" xfId="13" applyFont="1" applyAlignment="1">
      <alignment horizontal="center"/>
    </xf>
    <xf numFmtId="3" fontId="13" fillId="0" borderId="10" xfId="13" applyNumberFormat="1" applyFont="1" applyBorder="1" applyAlignment="1">
      <alignment horizontal="left"/>
    </xf>
    <xf numFmtId="0" fontId="13" fillId="0" borderId="10" xfId="13" applyFont="1" applyBorder="1" applyAlignment="1">
      <alignment horizontal="center"/>
    </xf>
    <xf numFmtId="3" fontId="13" fillId="0" borderId="10" xfId="13" applyNumberFormat="1" applyFont="1" applyBorder="1" applyAlignment="1">
      <alignment horizontal="center"/>
    </xf>
    <xf numFmtId="41" fontId="13" fillId="0" borderId="0" xfId="13" applyNumberFormat="1" applyFont="1" applyAlignment="1">
      <alignment horizontal="right"/>
    </xf>
    <xf numFmtId="4" fontId="13" fillId="0" borderId="0" xfId="13" applyNumberFormat="1" applyFont="1" applyAlignment="1">
      <alignment horizontal="left"/>
    </xf>
    <xf numFmtId="0" fontId="13" fillId="0" borderId="0" xfId="13" applyFont="1" applyBorder="1"/>
    <xf numFmtId="3" fontId="13" fillId="0" borderId="0" xfId="13" applyNumberFormat="1" applyFont="1" applyFill="1"/>
    <xf numFmtId="0" fontId="13" fillId="0" borderId="0" xfId="0" applyFont="1" applyAlignment="1">
      <alignment horizontal="left"/>
    </xf>
    <xf numFmtId="4" fontId="13" fillId="0" borderId="0" xfId="0" applyNumberFormat="1" applyFont="1" applyFill="1" applyAlignment="1">
      <alignment horizontal="left"/>
    </xf>
    <xf numFmtId="4" fontId="13" fillId="0" borderId="0" xfId="0" applyNumberFormat="1" applyFont="1" applyAlignment="1">
      <alignment horizontal="left"/>
    </xf>
    <xf numFmtId="41" fontId="13" fillId="0" borderId="0" xfId="13" applyNumberFormat="1" applyFont="1"/>
    <xf numFmtId="41" fontId="13" fillId="0" borderId="0" xfId="1" applyNumberFormat="1" applyFont="1"/>
    <xf numFmtId="41" fontId="13" fillId="0" borderId="0" xfId="1" applyNumberFormat="1" applyFont="1" applyAlignment="1">
      <alignment horizontal="right"/>
    </xf>
    <xf numFmtId="41" fontId="20" fillId="0" borderId="0" xfId="1" applyNumberFormat="1" applyFont="1"/>
    <xf numFmtId="41" fontId="13" fillId="0" borderId="10" xfId="1" applyNumberFormat="1" applyFont="1" applyBorder="1"/>
    <xf numFmtId="41" fontId="19" fillId="0" borderId="10" xfId="1" applyNumberFormat="1" applyFont="1" applyFill="1" applyBorder="1"/>
    <xf numFmtId="41" fontId="13" fillId="0" borderId="12" xfId="1" applyNumberFormat="1" applyFont="1" applyBorder="1"/>
    <xf numFmtId="9" fontId="13" fillId="0" borderId="10" xfId="7" applyFont="1" applyBorder="1"/>
    <xf numFmtId="9" fontId="13" fillId="0" borderId="0" xfId="7" applyFont="1"/>
    <xf numFmtId="10" fontId="13" fillId="0" borderId="10" xfId="7" applyNumberFormat="1" applyFont="1" applyBorder="1"/>
    <xf numFmtId="10" fontId="35" fillId="0" borderId="0" xfId="7" applyNumberFormat="1" applyFont="1"/>
    <xf numFmtId="42" fontId="35" fillId="0" borderId="0" xfId="6" applyNumberFormat="1" applyFont="1"/>
    <xf numFmtId="41" fontId="8" fillId="0" borderId="0" xfId="6" applyNumberFormat="1" applyFont="1"/>
    <xf numFmtId="41" fontId="8" fillId="0" borderId="0" xfId="1" applyNumberFormat="1" applyFont="1"/>
    <xf numFmtId="41" fontId="8" fillId="0" borderId="10" xfId="6" applyNumberFormat="1" applyFont="1" applyBorder="1"/>
    <xf numFmtId="41" fontId="8" fillId="0" borderId="10" xfId="6" applyNumberFormat="1" applyFont="1" applyFill="1" applyBorder="1"/>
    <xf numFmtId="41" fontId="8" fillId="0" borderId="0" xfId="1" applyNumberFormat="1" applyFont="1" applyBorder="1"/>
    <xf numFmtId="41" fontId="8" fillId="0" borderId="15" xfId="6" applyNumberFormat="1" applyFont="1" applyBorder="1"/>
    <xf numFmtId="41" fontId="8" fillId="0" borderId="0" xfId="0" applyNumberFormat="1" applyFont="1"/>
    <xf numFmtId="41" fontId="8" fillId="0" borderId="12" xfId="6" applyNumberFormat="1" applyFont="1" applyBorder="1"/>
    <xf numFmtId="41" fontId="8" fillId="0" borderId="0" xfId="6" applyNumberFormat="1" applyFont="1" applyBorder="1"/>
    <xf numFmtId="169" fontId="14" fillId="0" borderId="0" xfId="0" applyNumberFormat="1" applyFont="1" applyAlignment="1">
      <alignment horizontal="center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17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3" fontId="0" fillId="0" borderId="0" xfId="0" quotePrefix="1" applyNumberFormat="1" applyAlignment="1">
      <alignment horizontal="left"/>
    </xf>
    <xf numFmtId="173" fontId="45" fillId="0" borderId="0" xfId="0" applyNumberFormat="1" applyFont="1"/>
    <xf numFmtId="3" fontId="45" fillId="0" borderId="0" xfId="0" applyNumberFormat="1" applyFont="1"/>
    <xf numFmtId="49" fontId="45" fillId="0" borderId="0" xfId="0" applyNumberFormat="1" applyFont="1" applyFill="1" applyAlignment="1">
      <alignment horizontal="center"/>
    </xf>
    <xf numFmtId="3" fontId="45" fillId="0" borderId="0" xfId="0" applyNumberFormat="1" applyFont="1" applyFill="1"/>
    <xf numFmtId="173" fontId="45" fillId="0" borderId="0" xfId="0" applyNumberFormat="1" applyFont="1" applyAlignment="1">
      <alignment horizontal="center"/>
    </xf>
    <xf numFmtId="174" fontId="45" fillId="0" borderId="0" xfId="0" applyNumberFormat="1" applyFont="1"/>
    <xf numFmtId="174" fontId="45" fillId="0" borderId="0" xfId="0" applyNumberFormat="1" applyFont="1" applyAlignment="1">
      <alignment horizontal="center"/>
    </xf>
    <xf numFmtId="0" fontId="45" fillId="0" borderId="0" xfId="0" applyFont="1"/>
    <xf numFmtId="173" fontId="45" fillId="4" borderId="0" xfId="0" applyNumberFormat="1" applyFont="1" applyFill="1"/>
    <xf numFmtId="3" fontId="45" fillId="4" borderId="0" xfId="0" applyNumberFormat="1" applyFont="1" applyFill="1"/>
    <xf numFmtId="174" fontId="45" fillId="4" borderId="0" xfId="0" applyNumberFormat="1" applyFont="1" applyFill="1" applyAlignment="1">
      <alignment horizontal="center"/>
    </xf>
    <xf numFmtId="173" fontId="0" fillId="0" borderId="0" xfId="0" applyNumberFormat="1" applyAlignment="1">
      <alignment horizontal="center"/>
    </xf>
    <xf numFmtId="3" fontId="0" fillId="0" borderId="0" xfId="0" applyNumberFormat="1"/>
    <xf numFmtId="173" fontId="0" fillId="0" borderId="0" xfId="0" applyNumberFormat="1"/>
    <xf numFmtId="0" fontId="8" fillId="0" borderId="0" xfId="6" applyNumberFormat="1" applyFont="1" applyFill="1" applyAlignment="1">
      <alignment horizontal="center"/>
    </xf>
    <xf numFmtId="5" fontId="36" fillId="0" borderId="0" xfId="6" applyNumberFormat="1" applyFont="1"/>
    <xf numFmtId="42" fontId="35" fillId="0" borderId="12" xfId="6" applyNumberFormat="1" applyFont="1" applyBorder="1"/>
    <xf numFmtId="42" fontId="36" fillId="0" borderId="12" xfId="6" applyNumberFormat="1" applyFont="1" applyBorder="1"/>
    <xf numFmtId="41" fontId="19" fillId="0" borderId="0" xfId="1" applyNumberFormat="1" applyFont="1" applyFill="1" applyBorder="1"/>
    <xf numFmtId="41" fontId="13" fillId="0" borderId="0" xfId="1" applyNumberFormat="1" applyFont="1" applyBorder="1"/>
    <xf numFmtId="0" fontId="13" fillId="0" borderId="0" xfId="13" applyFont="1" applyBorder="1" applyAlignment="1">
      <alignment horizontal="center"/>
    </xf>
    <xf numFmtId="0" fontId="19" fillId="0" borderId="0" xfId="0" applyFont="1" applyFill="1"/>
    <xf numFmtId="175" fontId="35" fillId="0" borderId="0" xfId="5" applyNumberFormat="1" applyFont="1" applyFill="1"/>
    <xf numFmtId="10" fontId="35" fillId="2" borderId="0" xfId="7" applyNumberFormat="1" applyFont="1" applyFill="1"/>
    <xf numFmtId="37" fontId="8" fillId="0" borderId="0" xfId="6" applyNumberFormat="1" applyFont="1" applyFill="1"/>
    <xf numFmtId="41" fontId="8" fillId="0" borderId="0" xfId="6" applyNumberFormat="1" applyFont="1" applyFill="1"/>
    <xf numFmtId="0" fontId="14" fillId="0" borderId="0" xfId="0" applyFont="1" applyFill="1"/>
    <xf numFmtId="0" fontId="23" fillId="0" borderId="0" xfId="0" applyFont="1" applyFill="1"/>
    <xf numFmtId="5" fontId="13" fillId="0" borderId="0" xfId="1" applyNumberFormat="1" applyFont="1" applyBorder="1"/>
    <xf numFmtId="164" fontId="13" fillId="0" borderId="0" xfId="1" applyNumberFormat="1" applyFont="1" applyBorder="1"/>
    <xf numFmtId="0" fontId="13" fillId="0" borderId="18" xfId="0" applyFont="1" applyFill="1" applyBorder="1"/>
    <xf numFmtId="0" fontId="13" fillId="0" borderId="20" xfId="0" applyFont="1" applyFill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25" xfId="0" applyFont="1" applyBorder="1"/>
    <xf numFmtId="0" fontId="13" fillId="0" borderId="21" xfId="0" applyFont="1" applyFill="1" applyBorder="1"/>
    <xf numFmtId="0" fontId="13" fillId="0" borderId="22" xfId="0" applyFont="1" applyFill="1" applyBorder="1"/>
    <xf numFmtId="0" fontId="14" fillId="0" borderId="21" xfId="0" applyFont="1" applyBorder="1"/>
    <xf numFmtId="172" fontId="14" fillId="0" borderId="22" xfId="2" applyNumberFormat="1" applyFont="1" applyBorder="1"/>
    <xf numFmtId="166" fontId="47" fillId="0" borderId="0" xfId="0" applyNumberFormat="1" applyFont="1" applyFill="1"/>
    <xf numFmtId="41" fontId="10" fillId="0" borderId="1" xfId="2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0" fillId="0" borderId="0" xfId="6" applyNumberFormat="1" applyFont="1"/>
    <xf numFmtId="0" fontId="8" fillId="0" borderId="0" xfId="6" applyNumberFormat="1" applyFont="1" applyAlignment="1">
      <alignment horizontal="left"/>
    </xf>
    <xf numFmtId="3" fontId="10" fillId="0" borderId="0" xfId="6" applyNumberFormat="1" applyFont="1" applyFill="1" applyAlignment="1">
      <alignment horizontal="center"/>
    </xf>
    <xf numFmtId="41" fontId="8" fillId="0" borderId="0" xfId="5" applyNumberFormat="1" applyFont="1" applyFill="1" applyAlignment="1">
      <alignment horizontal="center"/>
    </xf>
    <xf numFmtId="0" fontId="8" fillId="0" borderId="0" xfId="6" applyFont="1" applyAlignment="1">
      <alignment horizontal="center"/>
    </xf>
    <xf numFmtId="3" fontId="10" fillId="0" borderId="0" xfId="6" applyNumberFormat="1" applyFont="1" applyFill="1" applyBorder="1" applyAlignment="1">
      <alignment horizontal="center"/>
    </xf>
    <xf numFmtId="0" fontId="10" fillId="0" borderId="0" xfId="6" applyNumberFormat="1" applyFont="1" applyAlignment="1">
      <alignment horizontal="center"/>
    </xf>
    <xf numFmtId="4" fontId="10" fillId="0" borderId="0" xfId="6" applyNumberFormat="1" applyFont="1" applyFill="1" applyBorder="1" applyAlignment="1">
      <alignment horizontal="center"/>
    </xf>
    <xf numFmtId="3" fontId="8" fillId="0" borderId="0" xfId="6" applyNumberFormat="1" applyFont="1" applyFill="1" applyBorder="1"/>
    <xf numFmtId="0" fontId="8" fillId="0" borderId="0" xfId="6" applyFont="1" applyBorder="1"/>
    <xf numFmtId="5" fontId="10" fillId="0" borderId="0" xfId="6" applyNumberFormat="1" applyFont="1"/>
    <xf numFmtId="10" fontId="10" fillId="0" borderId="0" xfId="7" applyNumberFormat="1" applyFont="1"/>
    <xf numFmtId="0" fontId="8" fillId="0" borderId="0" xfId="6" applyNumberFormat="1" applyFont="1" applyFill="1" applyAlignment="1">
      <alignment horizontal="left"/>
    </xf>
    <xf numFmtId="0" fontId="8" fillId="0" borderId="0" xfId="6" applyFont="1" applyFill="1"/>
    <xf numFmtId="0" fontId="8" fillId="0" borderId="0" xfId="5" applyFont="1" applyFill="1"/>
    <xf numFmtId="41" fontId="10" fillId="0" borderId="0" xfId="6" applyNumberFormat="1" applyFont="1" applyFill="1"/>
    <xf numFmtId="41" fontId="10" fillId="0" borderId="0" xfId="5" applyNumberFormat="1" applyFont="1" applyFill="1"/>
    <xf numFmtId="3" fontId="10" fillId="0" borderId="0" xfId="6" applyNumberFormat="1" applyFont="1" applyFill="1"/>
    <xf numFmtId="3" fontId="10" fillId="0" borderId="0" xfId="5" applyNumberFormat="1" applyFont="1" applyFill="1"/>
    <xf numFmtId="4" fontId="13" fillId="0" borderId="0" xfId="0" applyNumberFormat="1" applyFont="1" applyAlignment="1">
      <alignment horizontal="center"/>
    </xf>
    <xf numFmtId="37" fontId="13" fillId="0" borderId="0" xfId="0" applyNumberFormat="1" applyFont="1" applyFill="1"/>
    <xf numFmtId="3" fontId="13" fillId="0" borderId="0" xfId="0" applyNumberFormat="1" applyFont="1" applyFill="1"/>
    <xf numFmtId="41" fontId="13" fillId="0" borderId="0" xfId="0" applyNumberFormat="1" applyFont="1"/>
    <xf numFmtId="10" fontId="10" fillId="5" borderId="0" xfId="7" applyNumberFormat="1" applyFont="1" applyFill="1"/>
    <xf numFmtId="168" fontId="8" fillId="0" borderId="0" xfId="6" applyNumberFormat="1" applyFont="1" applyFill="1"/>
    <xf numFmtId="41" fontId="10" fillId="0" borderId="0" xfId="6" applyNumberFormat="1" applyFont="1" applyFill="1" applyBorder="1"/>
    <xf numFmtId="3" fontId="10" fillId="0" borderId="0" xfId="5" applyNumberFormat="1" applyFont="1" applyFill="1" applyBorder="1"/>
    <xf numFmtId="3" fontId="10" fillId="0" borderId="0" xfId="6" applyNumberFormat="1" applyFont="1" applyFill="1" applyBorder="1"/>
    <xf numFmtId="0" fontId="8" fillId="0" borderId="0" xfId="0" applyFont="1"/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7" fillId="0" borderId="0" xfId="0" applyFont="1"/>
    <xf numFmtId="3" fontId="13" fillId="0" borderId="0" xfId="0" applyNumberFormat="1" applyFont="1"/>
    <xf numFmtId="37" fontId="13" fillId="0" borderId="0" xfId="0" applyNumberFormat="1" applyFont="1"/>
    <xf numFmtId="5" fontId="19" fillId="0" borderId="0" xfId="0" applyNumberFormat="1" applyFont="1"/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/>
    <xf numFmtId="5" fontId="20" fillId="0" borderId="0" xfId="0" applyNumberFormat="1" applyFont="1"/>
    <xf numFmtId="5" fontId="13" fillId="0" borderId="0" xfId="0" applyNumberFormat="1" applyFont="1" applyFill="1"/>
    <xf numFmtId="3" fontId="13" fillId="0" borderId="0" xfId="0" applyNumberFormat="1" applyFont="1" applyFill="1"/>
    <xf numFmtId="41" fontId="10" fillId="0" borderId="5" xfId="20" applyNumberFormat="1" applyFont="1" applyFill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/>
    </xf>
    <xf numFmtId="169" fontId="13" fillId="0" borderId="0" xfId="17" applyNumberFormat="1" applyFont="1"/>
    <xf numFmtId="3" fontId="8" fillId="0" borderId="0" xfId="5" applyNumberFormat="1" applyFont="1" applyFill="1"/>
    <xf numFmtId="0" fontId="30" fillId="0" borderId="22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3" fontId="49" fillId="0" borderId="0" xfId="0" applyNumberFormat="1" applyFont="1" applyAlignment="1">
      <alignment horizontal="left"/>
    </xf>
    <xf numFmtId="3" fontId="49" fillId="0" borderId="0" xfId="0" applyNumberFormat="1" applyFont="1" applyFill="1" applyAlignment="1">
      <alignment horizontal="left"/>
    </xf>
    <xf numFmtId="49" fontId="49" fillId="0" borderId="0" xfId="0" applyNumberFormat="1" applyFont="1" applyAlignment="1">
      <alignment horizontal="left"/>
    </xf>
    <xf numFmtId="3" fontId="49" fillId="0" borderId="0" xfId="0" applyNumberFormat="1" applyFont="1"/>
    <xf numFmtId="3" fontId="49" fillId="0" borderId="0" xfId="0" applyNumberFormat="1" applyFont="1" applyFill="1"/>
    <xf numFmtId="0" fontId="49" fillId="0" borderId="0" xfId="0" applyFont="1"/>
    <xf numFmtId="3" fontId="49" fillId="4" borderId="0" xfId="0" applyNumberFormat="1" applyFont="1" applyFill="1"/>
    <xf numFmtId="173" fontId="49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37" fontId="13" fillId="0" borderId="0" xfId="0" applyNumberFormat="1" applyFont="1"/>
    <xf numFmtId="0" fontId="13" fillId="0" borderId="0" xfId="0" applyFont="1" applyFill="1"/>
    <xf numFmtId="0" fontId="14" fillId="0" borderId="0" xfId="0" applyFont="1" applyBorder="1" applyAlignment="1">
      <alignment horizontal="left"/>
    </xf>
    <xf numFmtId="3" fontId="13" fillId="0" borderId="0" xfId="0" applyNumberFormat="1" applyFont="1" applyFill="1"/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/>
    </xf>
    <xf numFmtId="4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left"/>
    </xf>
    <xf numFmtId="3" fontId="8" fillId="0" borderId="0" xfId="5" applyNumberFormat="1" applyFont="1" applyFill="1" applyBorder="1"/>
    <xf numFmtId="0" fontId="8" fillId="0" borderId="0" xfId="5" applyFont="1" applyFill="1" applyBorder="1"/>
    <xf numFmtId="0" fontId="8" fillId="0" borderId="0" xfId="6" applyNumberFormat="1" applyFont="1" applyFill="1" applyBorder="1" applyAlignment="1">
      <alignment horizontal="center"/>
    </xf>
    <xf numFmtId="41" fontId="10" fillId="0" borderId="0" xfId="4" applyNumberFormat="1" applyFont="1" applyFill="1" applyBorder="1" applyAlignment="1">
      <alignment horizontal="center"/>
    </xf>
    <xf numFmtId="0" fontId="8" fillId="0" borderId="0" xfId="6" applyFont="1" applyFill="1" applyBorder="1"/>
    <xf numFmtId="0" fontId="8" fillId="0" borderId="0" xfId="5" applyFont="1" applyFill="1" applyBorder="1" applyAlignment="1">
      <alignment horizontal="right"/>
    </xf>
    <xf numFmtId="37" fontId="17" fillId="0" borderId="0" xfId="0" applyNumberFormat="1" applyFont="1" applyFill="1" applyBorder="1"/>
    <xf numFmtId="5" fontId="19" fillId="0" borderId="0" xfId="0" applyNumberFormat="1" applyFont="1" applyBorder="1"/>
    <xf numFmtId="5" fontId="20" fillId="0" borderId="0" xfId="0" applyNumberFormat="1" applyFont="1" applyBorder="1"/>
    <xf numFmtId="5" fontId="8" fillId="0" borderId="0" xfId="0" applyNumberFormat="1" applyFont="1" applyFill="1"/>
    <xf numFmtId="3" fontId="17" fillId="0" borderId="0" xfId="0" applyNumberFormat="1" applyFont="1" applyFill="1" applyBorder="1"/>
    <xf numFmtId="171" fontId="13" fillId="0" borderId="0" xfId="0" applyNumberFormat="1" applyFont="1"/>
    <xf numFmtId="0" fontId="30" fillId="4" borderId="31" xfId="0" applyFont="1" applyFill="1" applyBorder="1" applyAlignment="1">
      <alignment horizontal="left"/>
    </xf>
    <xf numFmtId="171" fontId="13" fillId="0" borderId="0" xfId="0" applyNumberFormat="1" applyFont="1" applyBorder="1"/>
    <xf numFmtId="1" fontId="13" fillId="0" borderId="0" xfId="0" applyNumberFormat="1" applyFont="1"/>
    <xf numFmtId="0" fontId="13" fillId="0" borderId="0" xfId="0" applyFont="1" applyAlignment="1">
      <alignment horizontal="center"/>
    </xf>
    <xf numFmtId="3" fontId="14" fillId="0" borderId="0" xfId="0" applyNumberFormat="1" applyFont="1" applyFill="1" applyAlignment="1"/>
    <xf numFmtId="10" fontId="14" fillId="0" borderId="0" xfId="0" applyNumberFormat="1" applyFont="1" applyBorder="1" applyAlignment="1">
      <alignment horizontal="center"/>
    </xf>
    <xf numFmtId="37" fontId="34" fillId="0" borderId="0" xfId="5" applyNumberFormat="1" applyFont="1" applyBorder="1" applyAlignment="1">
      <alignment vertical="top"/>
    </xf>
    <xf numFmtId="174" fontId="49" fillId="4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13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13" fillId="0" borderId="0" xfId="0" applyFont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47" fillId="0" borderId="0" xfId="5" applyNumberFormat="1" applyFont="1" applyAlignment="1">
      <alignment horizontal="left"/>
    </xf>
    <xf numFmtId="0" fontId="30" fillId="0" borderId="0" xfId="0" applyFont="1" applyAlignment="1">
      <alignment horizontal="centerContinuous"/>
    </xf>
    <xf numFmtId="0" fontId="29" fillId="0" borderId="0" xfId="0" applyFont="1"/>
    <xf numFmtId="0" fontId="52" fillId="0" borderId="0" xfId="0" applyFont="1"/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5" applyNumberFormat="1" applyFont="1" applyAlignment="1">
      <alignment horizontal="center"/>
    </xf>
    <xf numFmtId="0" fontId="30" fillId="0" borderId="0" xfId="0" applyFont="1" applyFill="1" applyAlignment="1">
      <alignment horizontal="center"/>
    </xf>
    <xf numFmtId="0" fontId="52" fillId="0" borderId="0" xfId="0" applyFont="1" applyFill="1"/>
    <xf numFmtId="3" fontId="30" fillId="0" borderId="0" xfId="0" applyNumberFormat="1" applyFont="1" applyFill="1" applyAlignment="1"/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8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Alignment="1">
      <alignment horizontal="center"/>
    </xf>
    <xf numFmtId="42" fontId="29" fillId="0" borderId="0" xfId="0" applyNumberFormat="1" applyFont="1"/>
    <xf numFmtId="5" fontId="29" fillId="0" borderId="0" xfId="0" applyNumberFormat="1" applyFont="1"/>
    <xf numFmtId="10" fontId="29" fillId="0" borderId="0" xfId="7" applyNumberFormat="1" applyFont="1" applyBorder="1"/>
    <xf numFmtId="170" fontId="29" fillId="0" borderId="0" xfId="7" applyNumberFormat="1" applyFont="1" applyBorder="1"/>
    <xf numFmtId="42" fontId="29" fillId="0" borderId="10" xfId="0" applyNumberFormat="1" applyFont="1" applyBorder="1"/>
    <xf numFmtId="42" fontId="29" fillId="0" borderId="0" xfId="0" applyNumberFormat="1" applyFont="1" applyBorder="1"/>
    <xf numFmtId="37" fontId="29" fillId="0" borderId="0" xfId="20" applyNumberFormat="1" applyFont="1" applyFill="1"/>
    <xf numFmtId="169" fontId="29" fillId="0" borderId="0" xfId="0" applyNumberFormat="1" applyFont="1"/>
    <xf numFmtId="0" fontId="44" fillId="0" borderId="0" xfId="0" applyFont="1" applyAlignment="1">
      <alignment horizontal="right"/>
    </xf>
    <xf numFmtId="10" fontId="30" fillId="0" borderId="16" xfId="7" applyNumberFormat="1" applyFont="1" applyBorder="1"/>
    <xf numFmtId="10" fontId="30" fillId="0" borderId="0" xfId="7" applyNumberFormat="1" applyFont="1" applyBorder="1"/>
    <xf numFmtId="37" fontId="29" fillId="0" borderId="0" xfId="5" applyNumberFormat="1" applyFont="1"/>
    <xf numFmtId="42" fontId="29" fillId="0" borderId="0" xfId="0" applyNumberFormat="1" applyFont="1" applyFill="1" applyBorder="1"/>
    <xf numFmtId="0" fontId="47" fillId="0" borderId="0" xfId="0" applyFont="1"/>
    <xf numFmtId="0" fontId="30" fillId="0" borderId="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4" borderId="32" xfId="0" applyFont="1" applyFill="1" applyBorder="1" applyAlignment="1">
      <alignment horizontal="center"/>
    </xf>
    <xf numFmtId="0" fontId="30" fillId="4" borderId="33" xfId="0" applyFont="1" applyFill="1" applyBorder="1" applyAlignment="1">
      <alignment horizontal="center"/>
    </xf>
    <xf numFmtId="37" fontId="29" fillId="4" borderId="21" xfId="20" applyNumberFormat="1" applyFont="1" applyFill="1" applyBorder="1"/>
    <xf numFmtId="37" fontId="29" fillId="4" borderId="0" xfId="20" applyNumberFormat="1" applyFont="1" applyFill="1" applyBorder="1"/>
    <xf numFmtId="0" fontId="30" fillId="4" borderId="0" xfId="0" applyFont="1" applyFill="1" applyBorder="1" applyAlignment="1">
      <alignment horizontal="center"/>
    </xf>
    <xf numFmtId="37" fontId="53" fillId="4" borderId="0" xfId="20" applyNumberFormat="1" applyFont="1" applyFill="1" applyBorder="1"/>
    <xf numFmtId="0" fontId="30" fillId="4" borderId="22" xfId="0" applyFont="1" applyFill="1" applyBorder="1" applyAlignment="1">
      <alignment horizontal="center"/>
    </xf>
    <xf numFmtId="0" fontId="29" fillId="4" borderId="0" xfId="0" applyFont="1" applyFill="1" applyBorder="1"/>
    <xf numFmtId="0" fontId="30" fillId="4" borderId="10" xfId="0" applyFont="1" applyFill="1" applyBorder="1" applyAlignment="1">
      <alignment horizontal="center"/>
    </xf>
    <xf numFmtId="0" fontId="30" fillId="4" borderId="29" xfId="0" applyFont="1" applyFill="1" applyBorder="1" applyAlignment="1">
      <alignment horizontal="center"/>
    </xf>
    <xf numFmtId="37" fontId="29" fillId="0" borderId="0" xfId="20" applyNumberFormat="1" applyFont="1" applyFill="1" applyBorder="1"/>
    <xf numFmtId="37" fontId="29" fillId="4" borderId="22" xfId="20" applyNumberFormat="1" applyFont="1" applyFill="1" applyBorder="1"/>
    <xf numFmtId="167" fontId="29" fillId="4" borderId="0" xfId="7" applyNumberFormat="1" applyFont="1" applyFill="1" applyBorder="1"/>
    <xf numFmtId="10" fontId="29" fillId="4" borderId="22" xfId="7" applyNumberFormat="1" applyFont="1" applyFill="1" applyBorder="1"/>
    <xf numFmtId="10" fontId="29" fillId="4" borderId="0" xfId="7" applyNumberFormat="1" applyFont="1" applyFill="1" applyBorder="1"/>
    <xf numFmtId="170" fontId="53" fillId="4" borderId="0" xfId="7" applyNumberFormat="1" applyFont="1" applyFill="1" applyBorder="1"/>
    <xf numFmtId="10" fontId="29" fillId="4" borderId="16" xfId="7" applyNumberFormat="1" applyFont="1" applyFill="1" applyBorder="1"/>
    <xf numFmtId="10" fontId="29" fillId="4" borderId="30" xfId="7" applyNumberFormat="1" applyFont="1" applyFill="1" applyBorder="1"/>
    <xf numFmtId="37" fontId="29" fillId="4" borderId="23" xfId="20" applyNumberFormat="1" applyFont="1" applyFill="1" applyBorder="1"/>
    <xf numFmtId="0" fontId="29" fillId="4" borderId="24" xfId="0" applyFont="1" applyFill="1" applyBorder="1"/>
    <xf numFmtId="10" fontId="29" fillId="4" borderId="24" xfId="7" applyNumberFormat="1" applyFont="1" applyFill="1" applyBorder="1"/>
    <xf numFmtId="10" fontId="53" fillId="4" borderId="24" xfId="7" applyNumberFormat="1" applyFont="1" applyFill="1" applyBorder="1"/>
    <xf numFmtId="10" fontId="29" fillId="4" borderId="25" xfId="7" applyNumberFormat="1" applyFont="1" applyFill="1" applyBorder="1"/>
    <xf numFmtId="0" fontId="53" fillId="0" borderId="0" xfId="0" applyFont="1"/>
    <xf numFmtId="0" fontId="53" fillId="0" borderId="0" xfId="0" applyFont="1" applyBorder="1"/>
    <xf numFmtId="0" fontId="53" fillId="0" borderId="0" xfId="0" applyFont="1" applyFill="1" applyBorder="1"/>
    <xf numFmtId="10" fontId="53" fillId="0" borderId="0" xfId="7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37" fontId="53" fillId="0" borderId="0" xfId="20" applyNumberFormat="1" applyFont="1" applyFill="1" applyBorder="1"/>
    <xf numFmtId="0" fontId="29" fillId="0" borderId="0" xfId="0" applyFont="1" applyFill="1" applyBorder="1" applyAlignment="1">
      <alignment horizontal="left"/>
    </xf>
    <xf numFmtId="5" fontId="29" fillId="0" borderId="0" xfId="7" applyNumberFormat="1" applyFont="1" applyFill="1" applyBorder="1"/>
    <xf numFmtId="169" fontId="14" fillId="0" borderId="0" xfId="0" applyNumberFormat="1" applyFont="1" applyFill="1"/>
    <xf numFmtId="169" fontId="13" fillId="0" borderId="0" xfId="0" applyNumberFormat="1" applyFont="1" applyFill="1"/>
    <xf numFmtId="169" fontId="13" fillId="0" borderId="0" xfId="17" applyNumberFormat="1" applyFont="1" applyFill="1"/>
    <xf numFmtId="169" fontId="19" fillId="0" borderId="0" xfId="0" applyNumberFormat="1" applyFont="1" applyFill="1"/>
    <xf numFmtId="169" fontId="13" fillId="0" borderId="15" xfId="0" applyNumberFormat="1" applyFont="1" applyFill="1" applyBorder="1"/>
    <xf numFmtId="10" fontId="25" fillId="0" borderId="0" xfId="0" applyNumberFormat="1" applyFont="1" applyFill="1"/>
    <xf numFmtId="3" fontId="10" fillId="0" borderId="8" xfId="6" quotePrefix="1" applyNumberFormat="1" applyFont="1" applyFill="1" applyBorder="1" applyAlignment="1">
      <alignment horizontal="center"/>
    </xf>
    <xf numFmtId="3" fontId="46" fillId="0" borderId="0" xfId="13" applyNumberFormat="1" applyFont="1" applyFill="1"/>
    <xf numFmtId="0" fontId="54" fillId="0" borderId="0" xfId="0" applyFont="1" applyAlignment="1">
      <alignment horizontal="center"/>
    </xf>
    <xf numFmtId="0" fontId="30" fillId="0" borderId="0" xfId="0" applyFont="1" applyFill="1" applyAlignment="1"/>
    <xf numFmtId="174" fontId="49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3" fontId="8" fillId="0" borderId="0" xfId="6" applyNumberFormat="1" applyFont="1" applyFill="1"/>
    <xf numFmtId="41" fontId="8" fillId="0" borderId="0" xfId="6" applyNumberFormat="1" applyFont="1" applyFill="1" applyBorder="1"/>
    <xf numFmtId="42" fontId="10" fillId="0" borderId="12" xfId="6" applyNumberFormat="1" applyFont="1" applyFill="1" applyBorder="1"/>
    <xf numFmtId="41" fontId="8" fillId="0" borderId="0" xfId="5" applyNumberFormat="1" applyFont="1" applyFill="1" applyBorder="1" applyAlignment="1">
      <alignment horizontal="center"/>
    </xf>
    <xf numFmtId="41" fontId="10" fillId="0" borderId="0" xfId="20" applyNumberFormat="1" applyFont="1" applyFill="1" applyBorder="1" applyAlignment="1">
      <alignment horizontal="center"/>
    </xf>
    <xf numFmtId="3" fontId="10" fillId="0" borderId="0" xfId="6" quotePrefix="1" applyNumberFormat="1" applyFont="1" applyFill="1" applyBorder="1" applyAlignment="1">
      <alignment horizontal="center"/>
    </xf>
    <xf numFmtId="41" fontId="13" fillId="0" borderId="3" xfId="1" applyNumberFormat="1" applyFont="1" applyBorder="1"/>
    <xf numFmtId="10" fontId="13" fillId="0" borderId="36" xfId="7" applyNumberFormat="1" applyFont="1" applyFill="1" applyBorder="1"/>
    <xf numFmtId="0" fontId="1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66" fontId="8" fillId="0" borderId="0" xfId="0" applyNumberFormat="1" applyFont="1"/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165" fontId="8" fillId="0" borderId="10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165" fontId="8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71" fontId="8" fillId="0" borderId="0" xfId="1" applyNumberFormat="1" applyFont="1" applyAlignment="1">
      <alignment horizontal="center"/>
    </xf>
    <xf numFmtId="164" fontId="8" fillId="0" borderId="0" xfId="0" applyNumberFormat="1" applyFont="1"/>
    <xf numFmtId="37" fontId="8" fillId="0" borderId="0" xfId="0" applyNumberFormat="1" applyFont="1" applyFill="1"/>
    <xf numFmtId="37" fontId="8" fillId="0" borderId="10" xfId="0" applyNumberFormat="1" applyFont="1" applyBorder="1"/>
    <xf numFmtId="37" fontId="8" fillId="0" borderId="10" xfId="0" applyNumberFormat="1" applyFont="1" applyFill="1" applyBorder="1"/>
    <xf numFmtId="164" fontId="8" fillId="0" borderId="0" xfId="0" applyNumberFormat="1" applyFont="1" applyFill="1"/>
    <xf numFmtId="3" fontId="8" fillId="0" borderId="0" xfId="0" applyNumberFormat="1" applyFont="1" applyAlignment="1">
      <alignment horizontal="left"/>
    </xf>
    <xf numFmtId="167" fontId="8" fillId="0" borderId="0" xfId="0" applyNumberFormat="1" applyFont="1"/>
    <xf numFmtId="164" fontId="8" fillId="0" borderId="0" xfId="0" applyNumberFormat="1" applyFont="1" applyAlignment="1">
      <alignment horizontal="left"/>
    </xf>
    <xf numFmtId="37" fontId="8" fillId="0" borderId="15" xfId="0" applyNumberFormat="1" applyFont="1" applyBorder="1"/>
    <xf numFmtId="41" fontId="8" fillId="0" borderId="10" xfId="0" applyNumberFormat="1" applyFont="1" applyBorder="1"/>
    <xf numFmtId="5" fontId="8" fillId="0" borderId="12" xfId="0" applyNumberFormat="1" applyFont="1" applyBorder="1"/>
    <xf numFmtId="0" fontId="8" fillId="0" borderId="0" xfId="0" applyFont="1" applyAlignment="1">
      <alignment horizontal="right"/>
    </xf>
    <xf numFmtId="0" fontId="8" fillId="0" borderId="16" xfId="0" applyFont="1" applyBorder="1"/>
    <xf numFmtId="0" fontId="8" fillId="2" borderId="0" xfId="0" applyFont="1" applyFill="1"/>
    <xf numFmtId="165" fontId="8" fillId="2" borderId="0" xfId="0" applyNumberFormat="1" applyFont="1" applyFill="1"/>
    <xf numFmtId="166" fontId="8" fillId="2" borderId="0" xfId="0" applyNumberFormat="1" applyFont="1" applyFill="1"/>
    <xf numFmtId="171" fontId="8" fillId="2" borderId="0" xfId="1" applyNumberFormat="1" applyFont="1" applyFill="1"/>
    <xf numFmtId="174" fontId="49" fillId="0" borderId="0" xfId="0" applyNumberFormat="1" applyFont="1" applyAlignment="1">
      <alignment horizontal="center"/>
    </xf>
    <xf numFmtId="0" fontId="53" fillId="0" borderId="0" xfId="0" applyFont="1" applyFill="1"/>
    <xf numFmtId="14" fontId="56" fillId="0" borderId="0" xfId="0" applyNumberFormat="1" applyFont="1" applyFill="1" applyBorder="1"/>
    <xf numFmtId="14" fontId="29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3" fontId="60" fillId="0" borderId="0" xfId="6" applyNumberFormat="1" applyFont="1" applyFill="1"/>
    <xf numFmtId="42" fontId="60" fillId="0" borderId="0" xfId="4" applyNumberFormat="1" applyFont="1" applyFill="1"/>
    <xf numFmtId="41" fontId="60" fillId="0" borderId="0" xfId="4" applyNumberFormat="1" applyFont="1" applyFill="1"/>
    <xf numFmtId="41" fontId="60" fillId="0" borderId="10" xfId="4" applyNumberFormat="1" applyFont="1" applyFill="1" applyBorder="1"/>
    <xf numFmtId="41" fontId="60" fillId="0" borderId="0" xfId="6" applyNumberFormat="1" applyFont="1" applyFill="1"/>
    <xf numFmtId="41" fontId="60" fillId="0" borderId="10" xfId="6" applyNumberFormat="1" applyFont="1" applyFill="1" applyBorder="1"/>
    <xf numFmtId="42" fontId="60" fillId="0" borderId="12" xfId="6" applyNumberFormat="1" applyFont="1" applyFill="1" applyBorder="1"/>
    <xf numFmtId="41" fontId="60" fillId="0" borderId="15" xfId="6" applyNumberFormat="1" applyFont="1" applyFill="1" applyBorder="1"/>
    <xf numFmtId="41" fontId="60" fillId="0" borderId="0" xfId="6" applyNumberFormat="1" applyFont="1" applyFill="1" applyBorder="1"/>
    <xf numFmtId="41" fontId="60" fillId="0" borderId="0" xfId="4" applyNumberFormat="1" applyFont="1" applyFill="1" applyBorder="1"/>
    <xf numFmtId="41" fontId="60" fillId="0" borderId="0" xfId="5" applyNumberFormat="1" applyFont="1" applyFill="1"/>
    <xf numFmtId="3" fontId="60" fillId="0" borderId="0" xfId="5" applyNumberFormat="1" applyFont="1" applyFill="1"/>
    <xf numFmtId="3" fontId="60" fillId="0" borderId="0" xfId="5" applyNumberFormat="1" applyFont="1" applyFill="1" applyBorder="1"/>
    <xf numFmtId="3" fontId="60" fillId="0" borderId="0" xfId="6" applyNumberFormat="1" applyFont="1" applyFill="1" applyBorder="1"/>
    <xf numFmtId="3" fontId="59" fillId="0" borderId="0" xfId="6" applyNumberFormat="1" applyFont="1" applyFill="1" applyAlignment="1">
      <alignment horizontal="center"/>
    </xf>
    <xf numFmtId="3" fontId="59" fillId="0" borderId="1" xfId="6" applyNumberFormat="1" applyFont="1" applyFill="1" applyBorder="1" applyAlignment="1">
      <alignment horizontal="center"/>
    </xf>
    <xf numFmtId="42" fontId="59" fillId="0" borderId="12" xfId="6" applyNumberFormat="1" applyFont="1" applyFill="1" applyBorder="1"/>
    <xf numFmtId="0" fontId="10" fillId="0" borderId="0" xfId="6" applyNumberFormat="1" applyFont="1" applyFill="1" applyAlignment="1">
      <alignment horizontal="center"/>
    </xf>
    <xf numFmtId="3" fontId="8" fillId="0" borderId="0" xfId="6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5" fontId="51" fillId="0" borderId="0" xfId="0" applyNumberFormat="1" applyFont="1" applyFill="1" applyBorder="1"/>
    <xf numFmtId="0" fontId="14" fillId="0" borderId="0" xfId="0" applyFont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6" fontId="14" fillId="0" borderId="0" xfId="2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" fontId="10" fillId="0" borderId="0" xfId="5" applyNumberFormat="1" applyFont="1"/>
    <xf numFmtId="3" fontId="14" fillId="0" borderId="0" xfId="0" applyNumberFormat="1" applyFont="1" applyBorder="1"/>
    <xf numFmtId="0" fontId="43" fillId="0" borderId="0" xfId="0" applyFont="1" applyBorder="1"/>
    <xf numFmtId="0" fontId="14" fillId="0" borderId="0" xfId="0" applyFont="1" applyBorder="1"/>
    <xf numFmtId="0" fontId="14" fillId="0" borderId="0" xfId="0" applyFont="1"/>
    <xf numFmtId="0" fontId="59" fillId="0" borderId="0" xfId="6" applyNumberFormat="1" applyFont="1" applyFill="1" applyAlignment="1">
      <alignment horizontal="center"/>
    </xf>
    <xf numFmtId="169" fontId="13" fillId="0" borderId="10" xfId="0" applyNumberFormat="1" applyFont="1" applyFill="1" applyBorder="1"/>
    <xf numFmtId="169" fontId="13" fillId="0" borderId="12" xfId="0" applyNumberFormat="1" applyFont="1" applyFill="1" applyBorder="1"/>
    <xf numFmtId="0" fontId="54" fillId="0" borderId="0" xfId="0" applyFont="1" applyFill="1" applyAlignment="1">
      <alignment horizontal="center"/>
    </xf>
    <xf numFmtId="41" fontId="10" fillId="5" borderId="5" xfId="20" applyNumberFormat="1" applyFont="1" applyFill="1" applyBorder="1" applyAlignment="1">
      <alignment horizontal="center"/>
    </xf>
    <xf numFmtId="3" fontId="8" fillId="0" borderId="0" xfId="6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0" fontId="52" fillId="0" borderId="0" xfId="0" applyFont="1" applyBorder="1"/>
    <xf numFmtId="0" fontId="61" fillId="0" borderId="0" xfId="0" applyFont="1"/>
    <xf numFmtId="0" fontId="10" fillId="0" borderId="1" xfId="6" applyNumberFormat="1" applyFont="1" applyFill="1" applyBorder="1" applyAlignment="1">
      <alignment horizontal="center"/>
    </xf>
    <xf numFmtId="0" fontId="10" fillId="0" borderId="2" xfId="6" applyFont="1" applyFill="1" applyBorder="1" applyAlignment="1">
      <alignment horizontal="center"/>
    </xf>
    <xf numFmtId="0" fontId="10" fillId="0" borderId="3" xfId="6" applyFont="1" applyFill="1" applyBorder="1" applyAlignment="1">
      <alignment horizontal="center"/>
    </xf>
    <xf numFmtId="0" fontId="8" fillId="0" borderId="4" xfId="6" applyFont="1" applyFill="1" applyBorder="1"/>
    <xf numFmtId="0" fontId="10" fillId="0" borderId="0" xfId="6" applyFont="1" applyFill="1" applyAlignment="1">
      <alignment horizontal="center"/>
    </xf>
    <xf numFmtId="0" fontId="10" fillId="0" borderId="5" xfId="6" applyNumberFormat="1" applyFont="1" applyFill="1" applyBorder="1" applyAlignment="1">
      <alignment horizontal="center"/>
    </xf>
    <xf numFmtId="0" fontId="10" fillId="0" borderId="6" xfId="6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8" fillId="0" borderId="7" xfId="6" applyFont="1" applyFill="1" applyBorder="1"/>
    <xf numFmtId="0" fontId="10" fillId="0" borderId="8" xfId="6" applyNumberFormat="1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10" xfId="6" applyFont="1" applyFill="1" applyBorder="1" applyAlignment="1">
      <alignment horizontal="center"/>
    </xf>
    <xf numFmtId="0" fontId="10" fillId="0" borderId="11" xfId="6" applyFont="1" applyFill="1" applyBorder="1" applyAlignment="1">
      <alignment horizontal="center"/>
    </xf>
    <xf numFmtId="0" fontId="8" fillId="0" borderId="0" xfId="6" applyFont="1" applyFill="1" applyAlignment="1">
      <alignment horizontal="left"/>
    </xf>
    <xf numFmtId="41" fontId="10" fillId="0" borderId="10" xfId="6" applyNumberFormat="1" applyFont="1" applyFill="1" applyBorder="1"/>
    <xf numFmtId="41" fontId="10" fillId="0" borderId="1" xfId="0" applyNumberFormat="1" applyFont="1" applyBorder="1" applyAlignment="1">
      <alignment horizontal="center"/>
    </xf>
    <xf numFmtId="41" fontId="10" fillId="0" borderId="5" xfId="0" applyNumberFormat="1" applyFont="1" applyBorder="1" applyAlignment="1">
      <alignment horizontal="center"/>
    </xf>
    <xf numFmtId="41" fontId="10" fillId="0" borderId="8" xfId="0" applyNumberFormat="1" applyFont="1" applyBorder="1" applyAlignment="1">
      <alignment horizontal="center"/>
    </xf>
    <xf numFmtId="3" fontId="11" fillId="0" borderId="0" xfId="0" quotePrefix="1" applyNumberFormat="1" applyFont="1" applyAlignment="1">
      <alignment horizontal="center"/>
    </xf>
    <xf numFmtId="169" fontId="24" fillId="0" borderId="0" xfId="17" applyNumberFormat="1" applyFont="1"/>
    <xf numFmtId="169" fontId="14" fillId="0" borderId="0" xfId="17" applyNumberFormat="1" applyFont="1"/>
    <xf numFmtId="14" fontId="14" fillId="0" borderId="0" xfId="17" applyNumberFormat="1" applyFont="1"/>
    <xf numFmtId="0" fontId="14" fillId="0" borderId="0" xfId="17" applyFont="1"/>
    <xf numFmtId="169" fontId="14" fillId="0" borderId="0" xfId="17" applyNumberFormat="1" applyFont="1" applyAlignment="1">
      <alignment horizontal="right"/>
    </xf>
    <xf numFmtId="0" fontId="13" fillId="0" borderId="0" xfId="17" applyFont="1"/>
    <xf numFmtId="169" fontId="25" fillId="0" borderId="0" xfId="17" applyNumberFormat="1" applyFont="1"/>
    <xf numFmtId="169" fontId="13" fillId="0" borderId="15" xfId="17" applyNumberFormat="1" applyFont="1" applyBorder="1"/>
    <xf numFmtId="0" fontId="63" fillId="0" borderId="0" xfId="17" applyFont="1"/>
    <xf numFmtId="10" fontId="25" fillId="0" borderId="0" xfId="17" applyNumberFormat="1" applyFont="1"/>
    <xf numFmtId="4" fontId="64" fillId="0" borderId="0" xfId="17" applyNumberFormat="1" applyFont="1" applyAlignment="1">
      <alignment horizontal="left"/>
    </xf>
    <xf numFmtId="169" fontId="13" fillId="7" borderId="15" xfId="17" applyNumberFormat="1" applyFont="1" applyFill="1" applyBorder="1"/>
    <xf numFmtId="4" fontId="64" fillId="0" borderId="0" xfId="17" applyNumberFormat="1" applyFont="1" applyAlignment="1">
      <alignment horizontal="right"/>
    </xf>
    <xf numFmtId="3" fontId="13" fillId="0" borderId="0" xfId="17" applyNumberFormat="1" applyFont="1"/>
    <xf numFmtId="3" fontId="25" fillId="0" borderId="0" xfId="17" applyNumberFormat="1" applyFont="1"/>
    <xf numFmtId="3" fontId="13" fillId="0" borderId="10" xfId="17" applyNumberFormat="1" applyFont="1" applyBorder="1"/>
    <xf numFmtId="169" fontId="13" fillId="0" borderId="10" xfId="17" applyNumberFormat="1" applyFont="1" applyBorder="1"/>
    <xf numFmtId="0" fontId="8" fillId="0" borderId="0" xfId="6" applyFont="1" applyFill="1" applyAlignment="1">
      <alignment horizontal="center"/>
    </xf>
    <xf numFmtId="5" fontId="30" fillId="0" borderId="17" xfId="0" applyNumberFormat="1" applyFont="1" applyFill="1" applyBorder="1"/>
    <xf numFmtId="172" fontId="13" fillId="0" borderId="0" xfId="2" applyNumberFormat="1" applyFont="1" applyBorder="1"/>
    <xf numFmtId="172" fontId="13" fillId="0" borderId="0" xfId="2" applyNumberFormat="1" applyFont="1" applyFill="1" applyBorder="1"/>
    <xf numFmtId="172" fontId="15" fillId="0" borderId="0" xfId="2" applyNumberFormat="1" applyFont="1" applyFill="1" applyBorder="1" applyAlignment="1">
      <alignment horizontal="center"/>
    </xf>
    <xf numFmtId="172" fontId="13" fillId="0" borderId="0" xfId="2" applyNumberFormat="1" applyFont="1" applyFill="1" applyBorder="1" applyAlignment="1">
      <alignment horizontal="center"/>
    </xf>
    <xf numFmtId="3" fontId="10" fillId="0" borderId="0" xfId="0" applyNumberFormat="1" applyFont="1" applyFill="1"/>
    <xf numFmtId="41" fontId="10" fillId="0" borderId="1" xfId="0" quotePrefix="1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4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41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right" indent="1"/>
    </xf>
    <xf numFmtId="42" fontId="10" fillId="0" borderId="0" xfId="6" applyNumberFormat="1" applyFont="1" applyFill="1"/>
    <xf numFmtId="42" fontId="10" fillId="0" borderId="0" xfId="6" applyNumberFormat="1" applyFont="1" applyFill="1" applyBorder="1"/>
    <xf numFmtId="41" fontId="10" fillId="0" borderId="15" xfId="6" applyNumberFormat="1" applyFont="1" applyFill="1" applyBorder="1"/>
    <xf numFmtId="10" fontId="10" fillId="0" borderId="0" xfId="7" quotePrefix="1" applyNumberFormat="1" applyFont="1" applyFill="1" applyAlignment="1">
      <alignment horizontal="center"/>
    </xf>
    <xf numFmtId="10" fontId="10" fillId="0" borderId="0" xfId="7" quotePrefix="1" applyNumberFormat="1" applyFont="1" applyFill="1" applyBorder="1" applyAlignment="1">
      <alignment horizontal="center"/>
    </xf>
    <xf numFmtId="3" fontId="60" fillId="0" borderId="0" xfId="6" applyNumberFormat="1" applyFont="1" applyFill="1" applyAlignment="1">
      <alignment horizontal="center"/>
    </xf>
    <xf numFmtId="3" fontId="59" fillId="0" borderId="5" xfId="6" applyNumberFormat="1" applyFont="1" applyFill="1" applyBorder="1" applyAlignment="1">
      <alignment horizontal="center"/>
    </xf>
    <xf numFmtId="3" fontId="59" fillId="0" borderId="8" xfId="6" applyNumberFormat="1" applyFont="1" applyFill="1" applyBorder="1" applyAlignment="1">
      <alignment horizontal="center"/>
    </xf>
    <xf numFmtId="0" fontId="51" fillId="0" borderId="0" xfId="17" applyFont="1" applyAlignment="1">
      <alignment horizontal="center"/>
    </xf>
    <xf numFmtId="0" fontId="20" fillId="0" borderId="0" xfId="17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73" fontId="49" fillId="0" borderId="0" xfId="0" applyNumberFormat="1" applyFont="1" applyAlignment="1">
      <alignment horizontal="left"/>
    </xf>
    <xf numFmtId="166" fontId="8" fillId="0" borderId="10" xfId="0" applyNumberFormat="1" applyFont="1" applyBorder="1"/>
    <xf numFmtId="2" fontId="59" fillId="0" borderId="6" xfId="10" applyNumberFormat="1" applyFont="1" applyFill="1" applyBorder="1" applyAlignment="1" applyProtection="1">
      <alignment horizontal="center"/>
    </xf>
    <xf numFmtId="41" fontId="10" fillId="5" borderId="0" xfId="20" applyNumberFormat="1" applyFont="1" applyFill="1" applyAlignment="1">
      <alignment horizontal="center"/>
    </xf>
    <xf numFmtId="41" fontId="10" fillId="5" borderId="1" xfId="20" quotePrefix="1" applyNumberFormat="1" applyFont="1" applyFill="1" applyBorder="1" applyAlignment="1">
      <alignment horizontal="center"/>
    </xf>
    <xf numFmtId="41" fontId="10" fillId="5" borderId="8" xfId="20" applyNumberFormat="1" applyFont="1" applyFill="1" applyBorder="1" applyAlignment="1">
      <alignment horizontal="center"/>
    </xf>
    <xf numFmtId="41" fontId="10" fillId="5" borderId="2" xfId="20" quotePrefix="1" applyNumberFormat="1" applyFont="1" applyFill="1" applyBorder="1" applyAlignment="1">
      <alignment horizontal="center"/>
    </xf>
    <xf numFmtId="41" fontId="10" fillId="5" borderId="6" xfId="20" applyNumberFormat="1" applyFont="1" applyFill="1" applyBorder="1" applyAlignment="1">
      <alignment horizontal="center"/>
    </xf>
    <xf numFmtId="41" fontId="10" fillId="5" borderId="9" xfId="20" applyNumberFormat="1" applyFont="1" applyFill="1" applyBorder="1" applyAlignment="1">
      <alignment horizontal="center"/>
    </xf>
    <xf numFmtId="3" fontId="10" fillId="5" borderId="6" xfId="6" applyNumberFormat="1" applyFont="1" applyFill="1" applyBorder="1" applyAlignment="1">
      <alignment horizontal="center"/>
    </xf>
    <xf numFmtId="3" fontId="10" fillId="5" borderId="6" xfId="6" applyNumberFormat="1" applyFont="1" applyFill="1" applyBorder="1"/>
    <xf numFmtId="42" fontId="10" fillId="5" borderId="6" xfId="6" applyNumberFormat="1" applyFont="1" applyFill="1" applyBorder="1"/>
    <xf numFmtId="41" fontId="10" fillId="5" borderId="6" xfId="6" applyNumberFormat="1" applyFont="1" applyFill="1" applyBorder="1"/>
    <xf numFmtId="41" fontId="10" fillId="5" borderId="9" xfId="6" applyNumberFormat="1" applyFont="1" applyFill="1" applyBorder="1"/>
    <xf numFmtId="42" fontId="10" fillId="5" borderId="38" xfId="6" applyNumberFormat="1" applyFont="1" applyFill="1" applyBorder="1"/>
    <xf numFmtId="41" fontId="10" fillId="5" borderId="13" xfId="6" applyNumberFormat="1" applyFont="1" applyFill="1" applyBorder="1"/>
    <xf numFmtId="3" fontId="10" fillId="5" borderId="13" xfId="6" applyNumberFormat="1" applyFont="1" applyFill="1" applyBorder="1"/>
    <xf numFmtId="10" fontId="10" fillId="0" borderId="0" xfId="7" applyNumberFormat="1" applyFont="1" applyFill="1" applyBorder="1"/>
    <xf numFmtId="41" fontId="10" fillId="0" borderId="0" xfId="5" applyNumberFormat="1" applyFont="1" applyFill="1" applyBorder="1"/>
    <xf numFmtId="2" fontId="10" fillId="5" borderId="5" xfId="20" applyNumberFormat="1" applyFont="1" applyFill="1" applyBorder="1" applyAlignment="1">
      <alignment horizontal="center"/>
    </xf>
    <xf numFmtId="2" fontId="10" fillId="5" borderId="6" xfId="20" applyNumberFormat="1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5" fontId="8" fillId="0" borderId="0" xfId="6" applyNumberFormat="1" applyFont="1" applyFill="1" applyBorder="1"/>
    <xf numFmtId="171" fontId="8" fillId="0" borderId="0" xfId="20" applyNumberFormat="1" applyFont="1" applyFill="1" applyBorder="1"/>
    <xf numFmtId="0" fontId="8" fillId="0" borderId="0" xfId="20" applyFont="1" applyFill="1" applyBorder="1"/>
    <xf numFmtId="5" fontId="8" fillId="0" borderId="0" xfId="20" applyNumberFormat="1" applyFont="1" applyFill="1" applyBorder="1"/>
    <xf numFmtId="37" fontId="8" fillId="0" borderId="0" xfId="20" applyNumberFormat="1" applyFont="1" applyFill="1" applyBorder="1"/>
    <xf numFmtId="41" fontId="8" fillId="0" borderId="0" xfId="20" applyNumberFormat="1" applyFont="1" applyFill="1" applyBorder="1"/>
    <xf numFmtId="37" fontId="8" fillId="0" borderId="0" xfId="20" applyNumberFormat="1" applyFont="1" applyFill="1" applyBorder="1" applyAlignment="1">
      <alignment vertical="top" wrapText="1"/>
    </xf>
    <xf numFmtId="5" fontId="10" fillId="0" borderId="0" xfId="6" applyNumberFormat="1" applyFont="1" applyFill="1" applyBorder="1"/>
    <xf numFmtId="41" fontId="10" fillId="7" borderId="1" xfId="20" applyNumberFormat="1" applyFont="1" applyFill="1" applyBorder="1" applyAlignment="1">
      <alignment horizontal="center"/>
    </xf>
    <xf numFmtId="41" fontId="10" fillId="7" borderId="8" xfId="20" applyNumberFormat="1" applyFont="1" applyFill="1" applyBorder="1" applyAlignment="1">
      <alignment horizontal="center"/>
    </xf>
    <xf numFmtId="41" fontId="10" fillId="7" borderId="1" xfId="20" quotePrefix="1" applyNumberFormat="1" applyFont="1" applyFill="1" applyBorder="1" applyAlignment="1">
      <alignment horizontal="center"/>
    </xf>
    <xf numFmtId="41" fontId="10" fillId="7" borderId="5" xfId="20" applyNumberFormat="1" applyFont="1" applyFill="1" applyBorder="1" applyAlignment="1">
      <alignment horizontal="center"/>
    </xf>
    <xf numFmtId="2" fontId="10" fillId="7" borderId="0" xfId="20" applyNumberFormat="1" applyFont="1" applyFill="1" applyAlignment="1">
      <alignment horizontal="center"/>
    </xf>
    <xf numFmtId="41" fontId="10" fillId="0" borderId="0" xfId="20" applyNumberFormat="1" applyFont="1" applyFill="1" applyAlignment="1">
      <alignment horizontal="center"/>
    </xf>
    <xf numFmtId="41" fontId="10" fillId="0" borderId="0" xfId="20" quotePrefix="1" applyNumberFormat="1" applyFont="1" applyFill="1" applyAlignment="1">
      <alignment horizontal="center"/>
    </xf>
    <xf numFmtId="3" fontId="30" fillId="0" borderId="0" xfId="6" applyNumberFormat="1" applyFont="1" applyFill="1"/>
    <xf numFmtId="0" fontId="13" fillId="0" borderId="0" xfId="17" applyFont="1" applyFill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2" fontId="10" fillId="0" borderId="6" xfId="20" applyNumberFormat="1" applyFont="1" applyFill="1" applyBorder="1" applyAlignment="1">
      <alignment horizontal="center"/>
    </xf>
    <xf numFmtId="42" fontId="8" fillId="0" borderId="0" xfId="4" applyNumberFormat="1" applyFont="1" applyFill="1"/>
    <xf numFmtId="171" fontId="8" fillId="0" borderId="0" xfId="1" applyNumberFormat="1" applyFont="1" applyFill="1"/>
    <xf numFmtId="171" fontId="8" fillId="0" borderId="10" xfId="1" applyNumberFormat="1" applyFont="1" applyFill="1" applyBorder="1"/>
    <xf numFmtId="41" fontId="8" fillId="0" borderId="0" xfId="4" applyNumberFormat="1" applyFont="1" applyFill="1"/>
    <xf numFmtId="42" fontId="8" fillId="0" borderId="12" xfId="6" applyNumberFormat="1" applyFont="1" applyFill="1" applyBorder="1"/>
    <xf numFmtId="41" fontId="8" fillId="0" borderId="15" xfId="6" applyNumberFormat="1" applyFont="1" applyFill="1" applyBorder="1"/>
    <xf numFmtId="41" fontId="8" fillId="0" borderId="13" xfId="7" applyNumberFormat="1" applyFont="1" applyFill="1" applyBorder="1"/>
    <xf numFmtId="0" fontId="13" fillId="0" borderId="0" xfId="13" applyFont="1" applyAlignment="1">
      <alignment horizontal="right"/>
    </xf>
    <xf numFmtId="0" fontId="30" fillId="5" borderId="0" xfId="0" applyFont="1" applyFill="1" applyAlignment="1">
      <alignment horizontal="center"/>
    </xf>
    <xf numFmtId="0" fontId="30" fillId="5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Continuous"/>
    </xf>
    <xf numFmtId="0" fontId="30" fillId="0" borderId="0" xfId="5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4" fontId="29" fillId="0" borderId="10" xfId="0" quotePrefix="1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2" fontId="29" fillId="0" borderId="0" xfId="0" applyNumberFormat="1" applyFont="1" applyFill="1"/>
    <xf numFmtId="5" fontId="29" fillId="0" borderId="0" xfId="0" applyNumberFormat="1" applyFont="1" applyFill="1"/>
    <xf numFmtId="170" fontId="29" fillId="0" borderId="0" xfId="7" applyNumberFormat="1" applyFont="1" applyFill="1" applyBorder="1"/>
    <xf numFmtId="169" fontId="29" fillId="0" borderId="0" xfId="0" applyNumberFormat="1" applyFont="1" applyFill="1"/>
    <xf numFmtId="0" fontId="30" fillId="0" borderId="0" xfId="0" applyFont="1" applyFill="1"/>
    <xf numFmtId="42" fontId="30" fillId="0" borderId="0" xfId="0" applyNumberFormat="1" applyFont="1" applyFill="1" applyBorder="1"/>
    <xf numFmtId="37" fontId="30" fillId="0" borderId="0" xfId="5" applyNumberFormat="1" applyFont="1" applyFill="1"/>
    <xf numFmtId="10" fontId="30" fillId="0" borderId="0" xfId="7" applyNumberFormat="1" applyFont="1" applyFill="1" applyBorder="1"/>
    <xf numFmtId="44" fontId="30" fillId="0" borderId="0" xfId="2" applyNumberFormat="1" applyFont="1" applyFill="1" applyBorder="1"/>
    <xf numFmtId="167" fontId="30" fillId="0" borderId="0" xfId="7" applyNumberFormat="1" applyFont="1" applyFill="1" applyBorder="1"/>
    <xf numFmtId="172" fontId="29" fillId="0" borderId="0" xfId="2" applyNumberFormat="1" applyFont="1"/>
    <xf numFmtId="178" fontId="29" fillId="0" borderId="0" xfId="0" applyNumberFormat="1" applyFont="1"/>
    <xf numFmtId="5" fontId="30" fillId="0" borderId="17" xfId="0" applyNumberFormat="1" applyFont="1" applyBorder="1"/>
    <xf numFmtId="0" fontId="29" fillId="0" borderId="0" xfId="20" applyFont="1"/>
    <xf numFmtId="37" fontId="29" fillId="0" borderId="0" xfId="5" applyNumberFormat="1" applyFont="1" applyFill="1" applyBorder="1"/>
    <xf numFmtId="42" fontId="74" fillId="0" borderId="0" xfId="0" applyNumberFormat="1" applyFont="1" applyFill="1" applyBorder="1"/>
    <xf numFmtId="14" fontId="13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1" fontId="10" fillId="0" borderId="1" xfId="96" quotePrefix="1" applyNumberFormat="1" applyFont="1" applyBorder="1" applyAlignment="1">
      <alignment horizontal="center"/>
    </xf>
    <xf numFmtId="41" fontId="10" fillId="0" borderId="5" xfId="96" applyNumberFormat="1" applyFont="1" applyBorder="1" applyAlignment="1">
      <alignment horizontal="center"/>
    </xf>
    <xf numFmtId="41" fontId="10" fillId="0" borderId="8" xfId="96" applyNumberFormat="1" applyFont="1" applyBorder="1" applyAlignment="1">
      <alignment horizontal="center"/>
    </xf>
    <xf numFmtId="41" fontId="10" fillId="0" borderId="15" xfId="0" applyNumberFormat="1" applyFont="1" applyBorder="1" applyAlignment="1">
      <alignment horizontal="centerContinuous"/>
    </xf>
    <xf numFmtId="41" fontId="10" fillId="0" borderId="14" xfId="0" applyNumberFormat="1" applyFont="1" applyBorder="1" applyAlignment="1">
      <alignment horizontal="centerContinuous"/>
    </xf>
    <xf numFmtId="41" fontId="10" fillId="0" borderId="13" xfId="0" applyNumberFormat="1" applyFont="1" applyBorder="1" applyAlignment="1">
      <alignment horizontal="centerContinuous"/>
    </xf>
    <xf numFmtId="41" fontId="10" fillId="0" borderId="13" xfId="96" applyNumberFormat="1" applyFont="1" applyBorder="1" applyAlignment="1">
      <alignment horizontal="centerContinuous"/>
    </xf>
    <xf numFmtId="41" fontId="10" fillId="0" borderId="1" xfId="96" applyNumberFormat="1" applyFont="1" applyBorder="1" applyAlignment="1">
      <alignment horizontal="center"/>
    </xf>
    <xf numFmtId="171" fontId="8" fillId="0" borderId="10" xfId="1" applyNumberFormat="1" applyFont="1" applyBorder="1"/>
    <xf numFmtId="0" fontId="13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54" fillId="0" borderId="0" xfId="17" applyFont="1" applyFill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8" fillId="0" borderId="0" xfId="6" applyFont="1" applyFill="1" applyAlignment="1">
      <alignment vertical="top" wrapText="1"/>
    </xf>
    <xf numFmtId="41" fontId="8" fillId="0" borderId="0" xfId="20" applyNumberFormat="1" applyFont="1" applyFill="1" applyAlignment="1">
      <alignment vertical="top" wrapText="1"/>
    </xf>
    <xf numFmtId="3" fontId="10" fillId="0" borderId="1" xfId="6" applyNumberFormat="1" applyFont="1" applyFill="1" applyBorder="1" applyAlignment="1">
      <alignment horizontal="center"/>
    </xf>
    <xf numFmtId="3" fontId="10" fillId="0" borderId="5" xfId="6" applyNumberFormat="1" applyFont="1" applyFill="1" applyBorder="1" applyAlignment="1">
      <alignment horizontal="center"/>
    </xf>
    <xf numFmtId="3" fontId="10" fillId="0" borderId="8" xfId="6" applyNumberFormat="1" applyFont="1" applyFill="1" applyBorder="1" applyAlignment="1">
      <alignment horizontal="center"/>
    </xf>
    <xf numFmtId="4" fontId="10" fillId="0" borderId="0" xfId="6" applyNumberFormat="1" applyFont="1" applyFill="1" applyAlignment="1">
      <alignment horizontal="center"/>
    </xf>
    <xf numFmtId="41" fontId="8" fillId="0" borderId="10" xfId="4" applyNumberFormat="1" applyFont="1" applyFill="1" applyBorder="1"/>
    <xf numFmtId="41" fontId="8" fillId="0" borderId="0" xfId="4" applyNumberFormat="1" applyFont="1" applyFill="1" applyBorder="1"/>
    <xf numFmtId="41" fontId="8" fillId="0" borderId="0" xfId="20" applyNumberFormat="1" applyFont="1" applyFill="1" applyAlignment="1">
      <alignment horizontal="right"/>
    </xf>
    <xf numFmtId="41" fontId="8" fillId="0" borderId="0" xfId="20" applyNumberFormat="1" applyFont="1" applyFill="1"/>
    <xf numFmtId="3" fontId="76" fillId="0" borderId="0" xfId="22" applyNumberFormat="1" applyFont="1" applyFill="1"/>
    <xf numFmtId="3" fontId="10" fillId="0" borderId="0" xfId="6" applyNumberFormat="1" applyFont="1" applyAlignment="1">
      <alignment horizontal="center"/>
    </xf>
    <xf numFmtId="3" fontId="76" fillId="0" borderId="0" xfId="6" applyNumberFormat="1" applyFont="1" applyAlignment="1">
      <alignment horizontal="center"/>
    </xf>
    <xf numFmtId="3" fontId="8" fillId="0" borderId="0" xfId="0" applyNumberFormat="1" applyFont="1" applyFill="1" applyAlignment="1"/>
    <xf numFmtId="42" fontId="8" fillId="0" borderId="0" xfId="6" applyNumberFormat="1" applyFont="1"/>
    <xf numFmtId="42" fontId="8" fillId="0" borderId="12" xfId="6" applyNumberFormat="1" applyFont="1" applyBorder="1"/>
    <xf numFmtId="42" fontId="10" fillId="0" borderId="12" xfId="6" applyNumberFormat="1" applyFont="1" applyBorder="1"/>
    <xf numFmtId="177" fontId="8" fillId="0" borderId="0" xfId="6" applyNumberFormat="1" applyFont="1" applyFill="1"/>
    <xf numFmtId="10" fontId="8" fillId="0" borderId="0" xfId="7" applyNumberFormat="1" applyFont="1" applyFill="1"/>
    <xf numFmtId="176" fontId="8" fillId="0" borderId="0" xfId="5" applyNumberFormat="1" applyFont="1" applyFill="1"/>
    <xf numFmtId="3" fontId="8" fillId="0" borderId="0" xfId="6" applyNumberFormat="1" applyFont="1" applyBorder="1"/>
    <xf numFmtId="3" fontId="10" fillId="0" borderId="0" xfId="22" applyNumberFormat="1" applyFont="1" applyFill="1" applyAlignment="1">
      <alignment horizontal="center"/>
    </xf>
    <xf numFmtId="3" fontId="10" fillId="0" borderId="0" xfId="6" applyNumberFormat="1" applyFont="1" applyFill="1" applyAlignment="1">
      <alignment wrapText="1"/>
    </xf>
    <xf numFmtId="41" fontId="10" fillId="0" borderId="0" xfId="20" applyNumberFormat="1" applyFont="1" applyFill="1"/>
    <xf numFmtId="41" fontId="10" fillId="0" borderId="0" xfId="20" applyNumberFormat="1" applyFont="1" applyFill="1" applyBorder="1" applyAlignment="1">
      <alignment wrapText="1"/>
    </xf>
    <xf numFmtId="41" fontId="10" fillId="0" borderId="0" xfId="22" applyNumberFormat="1" applyFont="1" applyFill="1" applyAlignment="1">
      <alignment horizontal="center"/>
    </xf>
    <xf numFmtId="41" fontId="10" fillId="0" borderId="1" xfId="22" applyNumberFormat="1" applyFont="1" applyFill="1" applyBorder="1" applyAlignment="1">
      <alignment horizontal="center"/>
    </xf>
    <xf numFmtId="41" fontId="10" fillId="0" borderId="5" xfId="22" applyNumberFormat="1" applyFont="1" applyFill="1" applyBorder="1" applyAlignment="1">
      <alignment horizontal="center"/>
    </xf>
    <xf numFmtId="41" fontId="10" fillId="0" borderId="8" xfId="22" applyNumberFormat="1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left"/>
    </xf>
    <xf numFmtId="0" fontId="10" fillId="0" borderId="0" xfId="6" applyNumberFormat="1" applyFont="1" applyFill="1" applyAlignment="1">
      <alignment wrapText="1"/>
    </xf>
    <xf numFmtId="0" fontId="10" fillId="0" borderId="0" xfId="6" applyNumberFormat="1" applyFont="1" applyFill="1" applyAlignment="1">
      <alignment horizontal="center" wrapText="1"/>
    </xf>
    <xf numFmtId="41" fontId="10" fillId="0" borderId="5" xfId="20" quotePrefix="1" applyNumberFormat="1" applyFont="1" applyFill="1" applyBorder="1" applyAlignment="1">
      <alignment horizontal="center"/>
    </xf>
    <xf numFmtId="41" fontId="10" fillId="0" borderId="8" xfId="20" applyNumberFormat="1" applyFont="1" applyFill="1" applyBorder="1" applyAlignment="1">
      <alignment horizontal="center"/>
    </xf>
    <xf numFmtId="2" fontId="10" fillId="0" borderId="0" xfId="10" applyNumberFormat="1" applyFont="1" applyFill="1" applyBorder="1" applyAlignment="1" applyProtection="1">
      <alignment horizontal="center"/>
    </xf>
    <xf numFmtId="37" fontId="57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3" fontId="77" fillId="0" borderId="0" xfId="6" applyNumberFormat="1" applyFont="1" applyFill="1"/>
    <xf numFmtId="3" fontId="78" fillId="0" borderId="0" xfId="6" applyNumberFormat="1" applyFont="1" applyFill="1"/>
    <xf numFmtId="0" fontId="79" fillId="0" borderId="0" xfId="0" applyFont="1" applyFill="1"/>
    <xf numFmtId="0" fontId="77" fillId="0" borderId="0" xfId="0" applyFont="1" applyFill="1" applyAlignment="1">
      <alignment horizontal="right"/>
    </xf>
    <xf numFmtId="41" fontId="78" fillId="0" borderId="0" xfId="20" applyNumberFormat="1" applyFont="1" applyFill="1" applyBorder="1" applyAlignment="1">
      <alignment horizontal="center" vertical="center"/>
    </xf>
    <xf numFmtId="41" fontId="78" fillId="0" borderId="0" xfId="22" applyNumberFormat="1" applyFont="1" applyFill="1" applyAlignment="1">
      <alignment horizontal="center"/>
    </xf>
    <xf numFmtId="41" fontId="78" fillId="0" borderId="0" xfId="20" applyNumberFormat="1" applyFont="1" applyFill="1" applyAlignment="1">
      <alignment horizontal="center"/>
    </xf>
    <xf numFmtId="3" fontId="77" fillId="0" borderId="0" xfId="6" applyNumberFormat="1" applyFont="1" applyFill="1" applyAlignment="1">
      <alignment horizontal="center"/>
    </xf>
    <xf numFmtId="41" fontId="78" fillId="0" borderId="1" xfId="22" applyNumberFormat="1" applyFont="1" applyFill="1" applyBorder="1" applyAlignment="1">
      <alignment horizontal="center"/>
    </xf>
    <xf numFmtId="3" fontId="78" fillId="0" borderId="1" xfId="6" applyNumberFormat="1" applyFont="1" applyFill="1" applyBorder="1" applyAlignment="1">
      <alignment horizontal="center"/>
    </xf>
    <xf numFmtId="41" fontId="78" fillId="0" borderId="5" xfId="22" applyNumberFormat="1" applyFont="1" applyFill="1" applyBorder="1" applyAlignment="1">
      <alignment horizontal="center"/>
    </xf>
    <xf numFmtId="3" fontId="78" fillId="0" borderId="5" xfId="5" applyNumberFormat="1" applyFont="1" applyFill="1" applyBorder="1" applyAlignment="1">
      <alignment horizontal="center"/>
    </xf>
    <xf numFmtId="41" fontId="78" fillId="0" borderId="8" xfId="22" applyNumberFormat="1" applyFont="1" applyFill="1" applyBorder="1" applyAlignment="1">
      <alignment horizontal="center"/>
    </xf>
    <xf numFmtId="3" fontId="78" fillId="0" borderId="8" xfId="5" applyNumberFormat="1" applyFont="1" applyFill="1" applyBorder="1" applyAlignment="1">
      <alignment horizontal="center"/>
    </xf>
    <xf numFmtId="4" fontId="78" fillId="0" borderId="0" xfId="6" applyNumberFormat="1" applyFont="1" applyFill="1" applyBorder="1" applyAlignment="1">
      <alignment horizontal="center"/>
    </xf>
    <xf numFmtId="3" fontId="78" fillId="0" borderId="0" xfId="6" applyNumberFormat="1" applyFont="1" applyFill="1" applyAlignment="1">
      <alignment horizontal="center"/>
    </xf>
    <xf numFmtId="42" fontId="77" fillId="0" borderId="0" xfId="4" applyNumberFormat="1" applyFont="1" applyFill="1"/>
    <xf numFmtId="41" fontId="77" fillId="0" borderId="0" xfId="4" applyNumberFormat="1" applyFont="1" applyFill="1"/>
    <xf numFmtId="41" fontId="77" fillId="0" borderId="10" xfId="4" applyNumberFormat="1" applyFont="1" applyFill="1" applyBorder="1"/>
    <xf numFmtId="41" fontId="77" fillId="0" borderId="0" xfId="6" applyNumberFormat="1" applyFont="1" applyFill="1"/>
    <xf numFmtId="41" fontId="77" fillId="0" borderId="10" xfId="6" applyNumberFormat="1" applyFont="1" applyFill="1" applyBorder="1"/>
    <xf numFmtId="42" fontId="77" fillId="0" borderId="12" xfId="6" applyNumberFormat="1" applyFont="1" applyFill="1" applyBorder="1"/>
    <xf numFmtId="41" fontId="78" fillId="0" borderId="0" xfId="6" applyNumberFormat="1" applyFont="1" applyFill="1"/>
    <xf numFmtId="41" fontId="78" fillId="0" borderId="0" xfId="4" applyNumberFormat="1" applyFont="1" applyFill="1"/>
    <xf numFmtId="42" fontId="78" fillId="0" borderId="0" xfId="4" applyNumberFormat="1" applyFont="1" applyFill="1"/>
    <xf numFmtId="41" fontId="78" fillId="0" borderId="10" xfId="4" applyNumberFormat="1" applyFont="1" applyFill="1" applyBorder="1"/>
    <xf numFmtId="41" fontId="77" fillId="0" borderId="15" xfId="6" applyNumberFormat="1" applyFont="1" applyFill="1" applyBorder="1"/>
    <xf numFmtId="41" fontId="77" fillId="0" borderId="0" xfId="6" applyNumberFormat="1" applyFont="1" applyFill="1" applyBorder="1"/>
    <xf numFmtId="41" fontId="77" fillId="0" borderId="0" xfId="4" applyNumberFormat="1" applyFont="1" applyFill="1" applyBorder="1"/>
    <xf numFmtId="42" fontId="78" fillId="0" borderId="12" xfId="6" applyNumberFormat="1" applyFont="1" applyFill="1" applyBorder="1"/>
    <xf numFmtId="41" fontId="77" fillId="0" borderId="0" xfId="5" applyNumberFormat="1" applyFont="1" applyFill="1"/>
    <xf numFmtId="3" fontId="77" fillId="0" borderId="0" xfId="5" applyNumberFormat="1" applyFont="1" applyFill="1"/>
    <xf numFmtId="3" fontId="77" fillId="0" borderId="0" xfId="5" applyNumberFormat="1" applyFont="1" applyFill="1" applyBorder="1"/>
    <xf numFmtId="3" fontId="77" fillId="0" borderId="0" xfId="6" applyNumberFormat="1" applyFont="1" applyFill="1" applyBorder="1"/>
    <xf numFmtId="3" fontId="78" fillId="0" borderId="0" xfId="6" applyNumberFormat="1" applyFont="1" applyFill="1" applyBorder="1"/>
    <xf numFmtId="3" fontId="10" fillId="0" borderId="5" xfId="5" applyNumberFormat="1" applyFont="1" applyFill="1" applyBorder="1" applyAlignment="1">
      <alignment horizontal="center"/>
    </xf>
    <xf numFmtId="41" fontId="10" fillId="0" borderId="8" xfId="20" applyNumberFormat="1" applyFont="1" applyBorder="1" applyAlignment="1">
      <alignment horizontal="center"/>
    </xf>
    <xf numFmtId="3" fontId="10" fillId="0" borderId="0" xfId="6" applyNumberFormat="1" applyFont="1" applyFill="1" applyAlignment="1">
      <alignment vertical="center" wrapText="1"/>
    </xf>
    <xf numFmtId="41" fontId="10" fillId="0" borderId="1" xfId="4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1" fontId="8" fillId="0" borderId="6" xfId="2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3" fontId="10" fillId="0" borderId="4" xfId="6" applyNumberFormat="1" applyFont="1" applyFill="1" applyBorder="1" applyAlignment="1">
      <alignment horizontal="center"/>
    </xf>
    <xf numFmtId="3" fontId="10" fillId="0" borderId="7" xfId="6" applyNumberFormat="1" applyFont="1" applyFill="1" applyBorder="1" applyAlignment="1">
      <alignment horizontal="center"/>
    </xf>
    <xf numFmtId="3" fontId="10" fillId="0" borderId="11" xfId="6" applyNumberFormat="1" applyFont="1" applyFill="1" applyBorder="1" applyAlignment="1">
      <alignment horizontal="center"/>
    </xf>
    <xf numFmtId="41" fontId="10" fillId="0" borderId="0" xfId="20" applyNumberFormat="1" applyFont="1" applyFill="1" applyAlignment="1">
      <alignment wrapText="1"/>
    </xf>
    <xf numFmtId="3" fontId="10" fillId="0" borderId="8" xfId="5" applyNumberFormat="1" applyFont="1" applyFill="1" applyBorder="1" applyAlignment="1">
      <alignment horizontal="center"/>
    </xf>
    <xf numFmtId="41" fontId="10" fillId="0" borderId="0" xfId="4" applyNumberFormat="1" applyFont="1" applyFill="1"/>
    <xf numFmtId="42" fontId="10" fillId="0" borderId="0" xfId="4" applyNumberFormat="1" applyFont="1" applyFill="1"/>
    <xf numFmtId="41" fontId="10" fillId="0" borderId="10" xfId="4" applyNumberFormat="1" applyFont="1" applyFill="1" applyBorder="1"/>
    <xf numFmtId="0" fontId="14" fillId="0" borderId="0" xfId="0" applyFont="1" applyAlignment="1">
      <alignment horizontal="center"/>
    </xf>
    <xf numFmtId="3" fontId="36" fillId="0" borderId="0" xfId="6" applyNumberFormat="1" applyFont="1" applyFill="1"/>
    <xf numFmtId="41" fontId="36" fillId="0" borderId="0" xfId="22" applyNumberFormat="1" applyFont="1" applyFill="1" applyAlignment="1">
      <alignment horizontal="center"/>
    </xf>
    <xf numFmtId="0" fontId="35" fillId="0" borderId="0" xfId="0" applyFont="1" applyFill="1" applyAlignment="1"/>
    <xf numFmtId="3" fontId="35" fillId="0" borderId="0" xfId="6" applyNumberFormat="1" applyFont="1" applyFill="1" applyAlignment="1">
      <alignment horizontal="center"/>
    </xf>
    <xf numFmtId="4" fontId="36" fillId="0" borderId="0" xfId="6" applyNumberFormat="1" applyFont="1" applyFill="1" applyBorder="1" applyAlignment="1">
      <alignment horizontal="center"/>
    </xf>
    <xf numFmtId="3" fontId="36" fillId="0" borderId="0" xfId="6" applyNumberFormat="1" applyFont="1" applyFill="1" applyAlignment="1">
      <alignment horizontal="center"/>
    </xf>
    <xf numFmtId="42" fontId="35" fillId="0" borderId="0" xfId="4" applyNumberFormat="1" applyFont="1" applyFill="1"/>
    <xf numFmtId="41" fontId="35" fillId="0" borderId="0" xfId="4" applyNumberFormat="1" applyFont="1" applyFill="1"/>
    <xf numFmtId="41" fontId="35" fillId="0" borderId="10" xfId="4" applyNumberFormat="1" applyFont="1" applyFill="1" applyBorder="1"/>
    <xf numFmtId="41" fontId="35" fillId="0" borderId="10" xfId="6" applyNumberFormat="1" applyFont="1" applyFill="1" applyBorder="1"/>
    <xf numFmtId="42" fontId="35" fillId="0" borderId="12" xfId="6" applyNumberFormat="1" applyFont="1" applyFill="1" applyBorder="1"/>
    <xf numFmtId="41" fontId="36" fillId="0" borderId="0" xfId="6" applyNumberFormat="1" applyFont="1" applyFill="1"/>
    <xf numFmtId="41" fontId="36" fillId="0" borderId="0" xfId="4" applyNumberFormat="1" applyFont="1" applyFill="1"/>
    <xf numFmtId="42" fontId="36" fillId="0" borderId="0" xfId="4" applyNumberFormat="1" applyFont="1" applyFill="1"/>
    <xf numFmtId="41" fontId="36" fillId="0" borderId="10" xfId="4" applyNumberFormat="1" applyFont="1" applyFill="1" applyBorder="1"/>
    <xf numFmtId="41" fontId="35" fillId="0" borderId="15" xfId="6" applyNumberFormat="1" applyFont="1" applyFill="1" applyBorder="1"/>
    <xf numFmtId="41" fontId="35" fillId="0" borderId="0" xfId="6" applyNumberFormat="1" applyFont="1" applyFill="1" applyBorder="1"/>
    <xf numFmtId="41" fontId="35" fillId="0" borderId="0" xfId="4" applyNumberFormat="1" applyFont="1" applyFill="1" applyBorder="1"/>
    <xf numFmtId="42" fontId="36" fillId="0" borderId="12" xfId="6" applyNumberFormat="1" applyFont="1" applyFill="1" applyBorder="1"/>
    <xf numFmtId="3" fontId="35" fillId="0" borderId="0" xfId="5" applyNumberFormat="1" applyFont="1" applyFill="1" applyBorder="1"/>
    <xf numFmtId="3" fontId="36" fillId="0" borderId="0" xfId="6" applyNumberFormat="1" applyFont="1" applyFill="1" applyBorder="1"/>
    <xf numFmtId="0" fontId="35" fillId="0" borderId="0" xfId="0" applyFont="1" applyFill="1" applyAlignment="1">
      <alignment vertical="top"/>
    </xf>
    <xf numFmtId="0" fontId="36" fillId="0" borderId="0" xfId="6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0" fillId="0" borderId="0" xfId="6" applyNumberFormat="1" applyFont="1" applyFill="1" applyAlignment="1">
      <alignment horizontal="center" vertical="center" wrapText="1"/>
    </xf>
    <xf numFmtId="41" fontId="10" fillId="0" borderId="0" xfId="20" applyNumberFormat="1" applyFont="1" applyFill="1" applyBorder="1" applyAlignment="1">
      <alignment horizontal="center" wrapText="1"/>
    </xf>
    <xf numFmtId="3" fontId="10" fillId="0" borderId="10" xfId="22" applyNumberFormat="1" applyFont="1" applyFill="1" applyBorder="1" applyAlignment="1">
      <alignment horizontal="center"/>
    </xf>
    <xf numFmtId="2" fontId="10" fillId="0" borderId="0" xfId="10" applyNumberFormat="1" applyFont="1" applyFill="1" applyAlignment="1" applyProtection="1">
      <alignment horizontal="center"/>
    </xf>
    <xf numFmtId="0" fontId="54" fillId="0" borderId="0" xfId="0" applyFont="1" applyFill="1" applyAlignment="1">
      <alignment horizontal="right"/>
    </xf>
    <xf numFmtId="3" fontId="10" fillId="0" borderId="1" xfId="22" applyNumberFormat="1" applyFont="1" applyBorder="1" applyAlignment="1">
      <alignment horizontal="center"/>
    </xf>
    <xf numFmtId="41" fontId="10" fillId="0" borderId="5" xfId="20" quotePrefix="1" applyNumberFormat="1" applyFont="1" applyBorder="1" applyAlignment="1">
      <alignment horizontal="center"/>
    </xf>
    <xf numFmtId="2" fontId="10" fillId="0" borderId="6" xfId="10" applyNumberFormat="1" applyFont="1" applyFill="1" applyBorder="1" applyAlignment="1" applyProtection="1">
      <alignment horizontal="center"/>
    </xf>
    <xf numFmtId="42" fontId="8" fillId="0" borderId="0" xfId="4" applyNumberFormat="1" applyFont="1" applyFill="1" applyBorder="1"/>
    <xf numFmtId="171" fontId="8" fillId="0" borderId="0" xfId="1" applyNumberFormat="1" applyFont="1" applyFill="1" applyBorder="1"/>
    <xf numFmtId="41" fontId="81" fillId="0" borderId="0" xfId="6" applyNumberFormat="1" applyFont="1" applyFill="1" applyBorder="1"/>
    <xf numFmtId="0" fontId="82" fillId="0" borderId="0" xfId="0" applyFont="1" applyFill="1" applyBorder="1" applyAlignment="1">
      <alignment horizontal="left"/>
    </xf>
    <xf numFmtId="41" fontId="10" fillId="0" borderId="10" xfId="20" applyNumberFormat="1" applyFont="1" applyFill="1" applyBorder="1" applyAlignment="1">
      <alignment wrapText="1"/>
    </xf>
    <xf numFmtId="3" fontId="10" fillId="0" borderId="5" xfId="22" applyNumberFormat="1" applyFont="1" applyBorder="1" applyAlignment="1">
      <alignment horizontal="center"/>
    </xf>
    <xf numFmtId="3" fontId="10" fillId="0" borderId="8" xfId="22" applyNumberFormat="1" applyFont="1" applyBorder="1" applyAlignment="1">
      <alignment horizontal="center"/>
    </xf>
    <xf numFmtId="41" fontId="10" fillId="0" borderId="2" xfId="0" applyNumberFormat="1" applyFont="1" applyBorder="1" applyAlignment="1">
      <alignment horizontal="centerContinuous"/>
    </xf>
    <xf numFmtId="41" fontId="10" fillId="0" borderId="3" xfId="0" applyNumberFormat="1" applyFont="1" applyBorder="1" applyAlignment="1">
      <alignment horizontal="centerContinuous"/>
    </xf>
    <xf numFmtId="41" fontId="10" fillId="0" borderId="4" xfId="0" applyNumberFormat="1" applyFont="1" applyBorder="1" applyAlignment="1">
      <alignment horizontal="centerContinuous"/>
    </xf>
    <xf numFmtId="41" fontId="10" fillId="0" borderId="2" xfId="0" applyNumberFormat="1" applyFont="1" applyBorder="1" applyAlignment="1">
      <alignment horizontal="center"/>
    </xf>
    <xf numFmtId="41" fontId="31" fillId="0" borderId="0" xfId="0" quotePrefix="1" applyNumberFormat="1" applyFont="1" applyFill="1" applyBorder="1" applyAlignment="1"/>
    <xf numFmtId="41" fontId="10" fillId="0" borderId="10" xfId="0" applyNumberFormat="1" applyFont="1" applyFill="1" applyBorder="1" applyAlignment="1">
      <alignment horizontal="center"/>
    </xf>
    <xf numFmtId="41" fontId="10" fillId="0" borderId="1" xfId="0" quotePrefix="1" applyNumberFormat="1" applyFont="1" applyBorder="1" applyAlignment="1">
      <alignment horizontal="center"/>
    </xf>
    <xf numFmtId="41" fontId="10" fillId="0" borderId="6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center"/>
    </xf>
    <xf numFmtId="41" fontId="10" fillId="0" borderId="9" xfId="0" applyNumberFormat="1" applyFont="1" applyBorder="1" applyAlignment="1">
      <alignment horizontal="center"/>
    </xf>
    <xf numFmtId="41" fontId="10" fillId="0" borderId="10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/>
    <xf numFmtId="41" fontId="8" fillId="0" borderId="5" xfId="20" applyNumberFormat="1" applyFont="1" applyBorder="1"/>
    <xf numFmtId="10" fontId="13" fillId="0" borderId="5" xfId="7" applyNumberFormat="1" applyFont="1" applyFill="1" applyBorder="1"/>
    <xf numFmtId="10" fontId="8" fillId="0" borderId="5" xfId="7" applyNumberFormat="1" applyFont="1" applyBorder="1"/>
    <xf numFmtId="10" fontId="13" fillId="0" borderId="5" xfId="7" applyNumberFormat="1" applyFont="1" applyBorder="1"/>
    <xf numFmtId="41" fontId="8" fillId="0" borderId="5" xfId="0" applyNumberFormat="1" applyFont="1" applyBorder="1"/>
    <xf numFmtId="41" fontId="10" fillId="0" borderId="0" xfId="0" applyNumberFormat="1" applyFont="1" applyFill="1" applyBorder="1" applyAlignment="1">
      <alignment horizontal="center" wrapText="1"/>
    </xf>
    <xf numFmtId="41" fontId="10" fillId="0" borderId="10" xfId="0" applyNumberFormat="1" applyFont="1" applyFill="1" applyBorder="1" applyAlignment="1">
      <alignment horizontal="center" wrapText="1"/>
    </xf>
    <xf numFmtId="41" fontId="10" fillId="5" borderId="5" xfId="4" applyNumberFormat="1" applyFont="1" applyFill="1" applyBorder="1" applyAlignment="1">
      <alignment horizontal="center"/>
    </xf>
    <xf numFmtId="2" fontId="10" fillId="7" borderId="5" xfId="20" applyNumberFormat="1" applyFont="1" applyFill="1" applyBorder="1" applyAlignment="1">
      <alignment horizontal="center"/>
    </xf>
    <xf numFmtId="10" fontId="13" fillId="0" borderId="5" xfId="0" applyNumberFormat="1" applyFont="1" applyBorder="1"/>
    <xf numFmtId="15" fontId="10" fillId="5" borderId="1" xfId="0" quotePrefix="1" applyNumberFormat="1" applyFont="1" applyFill="1" applyBorder="1"/>
    <xf numFmtId="41" fontId="10" fillId="5" borderId="5" xfId="0" applyNumberFormat="1" applyFont="1" applyFill="1" applyBorder="1" applyAlignment="1">
      <alignment horizontal="center"/>
    </xf>
    <xf numFmtId="41" fontId="10" fillId="5" borderId="8" xfId="0" applyNumberFormat="1" applyFont="1" applyFill="1" applyBorder="1" applyAlignment="1">
      <alignment horizontal="center"/>
    </xf>
    <xf numFmtId="41" fontId="8" fillId="0" borderId="0" xfId="0" applyNumberFormat="1" applyFont="1" applyFill="1" applyBorder="1"/>
    <xf numFmtId="41" fontId="8" fillId="0" borderId="6" xfId="0" applyNumberFormat="1" applyFont="1" applyBorder="1"/>
    <xf numFmtId="10" fontId="8" fillId="0" borderId="0" xfId="7" applyNumberFormat="1" applyFont="1" applyBorder="1"/>
    <xf numFmtId="10" fontId="13" fillId="0" borderId="6" xfId="7" applyNumberFormat="1" applyFont="1" applyBorder="1"/>
    <xf numFmtId="3" fontId="11" fillId="0" borderId="5" xfId="0" applyNumberFormat="1" applyFont="1" applyBorder="1" applyAlignment="1">
      <alignment horizontal="center"/>
    </xf>
    <xf numFmtId="3" fontId="8" fillId="0" borderId="5" xfId="0" applyNumberFormat="1" applyFont="1" applyBorder="1"/>
    <xf numFmtId="168" fontId="8" fillId="0" borderId="5" xfId="6" applyNumberFormat="1" applyFont="1" applyBorder="1"/>
    <xf numFmtId="168" fontId="8" fillId="0" borderId="5" xfId="6" applyNumberFormat="1" applyFont="1" applyFill="1" applyBorder="1"/>
    <xf numFmtId="168" fontId="8" fillId="0" borderId="8" xfId="6" applyNumberFormat="1" applyFont="1" applyFill="1" applyBorder="1"/>
    <xf numFmtId="41" fontId="8" fillId="0" borderId="5" xfId="6" applyNumberFormat="1" applyFont="1" applyBorder="1"/>
    <xf numFmtId="41" fontId="8" fillId="0" borderId="8" xfId="6" applyNumberFormat="1" applyFont="1" applyBorder="1"/>
    <xf numFmtId="41" fontId="8" fillId="0" borderId="39" xfId="6" applyNumberFormat="1" applyFont="1" applyBorder="1"/>
    <xf numFmtId="41" fontId="8" fillId="0" borderId="5" xfId="4" applyNumberFormat="1" applyFont="1" applyFill="1" applyBorder="1"/>
    <xf numFmtId="41" fontId="8" fillId="0" borderId="40" xfId="6" applyNumberFormat="1" applyFont="1" applyBorder="1"/>
    <xf numFmtId="41" fontId="8" fillId="0" borderId="5" xfId="6" applyNumberFormat="1" applyFont="1" applyFill="1" applyBorder="1"/>
    <xf numFmtId="41" fontId="8" fillId="0" borderId="8" xfId="6" applyNumberFormat="1" applyFont="1" applyFill="1" applyBorder="1"/>
    <xf numFmtId="3" fontId="8" fillId="0" borderId="5" xfId="6" applyNumberFormat="1" applyFont="1" applyBorder="1"/>
    <xf numFmtId="37" fontId="8" fillId="0" borderId="40" xfId="6" applyNumberFormat="1" applyFont="1" applyBorder="1"/>
    <xf numFmtId="171" fontId="8" fillId="0" borderId="8" xfId="1" applyNumberFormat="1" applyFont="1" applyFill="1" applyBorder="1"/>
    <xf numFmtId="172" fontId="14" fillId="0" borderId="0" xfId="2" applyNumberFormat="1" applyFont="1" applyBorder="1"/>
    <xf numFmtId="171" fontId="8" fillId="0" borderId="5" xfId="1" applyNumberFormat="1" applyFont="1" applyBorder="1"/>
    <xf numFmtId="171" fontId="8" fillId="0" borderId="8" xfId="1" applyNumberFormat="1" applyFont="1" applyBorder="1"/>
    <xf numFmtId="41" fontId="8" fillId="0" borderId="3" xfId="6" applyNumberFormat="1" applyFont="1" applyBorder="1"/>
    <xf numFmtId="171" fontId="14" fillId="0" borderId="1" xfId="1" applyNumberFormat="1" applyFont="1" applyBorder="1" applyAlignment="1">
      <alignment horizontal="center"/>
    </xf>
    <xf numFmtId="171" fontId="14" fillId="0" borderId="5" xfId="1" applyNumberFormat="1" applyFont="1" applyBorder="1" applyAlignment="1">
      <alignment horizontal="center"/>
    </xf>
    <xf numFmtId="171" fontId="14" fillId="0" borderId="8" xfId="1" applyNumberFormat="1" applyFont="1" applyBorder="1" applyAlignment="1">
      <alignment horizontal="center"/>
    </xf>
    <xf numFmtId="171" fontId="8" fillId="0" borderId="5" xfId="1" applyNumberFormat="1" applyFont="1" applyFill="1" applyBorder="1"/>
    <xf numFmtId="41" fontId="8" fillId="0" borderId="1" xfId="6" applyNumberFormat="1" applyFont="1" applyBorder="1"/>
    <xf numFmtId="3" fontId="11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168" fontId="8" fillId="0" borderId="0" xfId="6" applyNumberFormat="1" applyFont="1" applyBorder="1"/>
    <xf numFmtId="168" fontId="8" fillId="0" borderId="0" xfId="6" applyNumberFormat="1" applyFont="1" applyFill="1" applyBorder="1"/>
    <xf numFmtId="168" fontId="8" fillId="0" borderId="10" xfId="6" applyNumberFormat="1" applyFont="1" applyFill="1" applyBorder="1"/>
    <xf numFmtId="41" fontId="8" fillId="0" borderId="0" xfId="0" applyNumberFormat="1" applyFont="1" applyBorder="1"/>
    <xf numFmtId="3" fontId="10" fillId="6" borderId="0" xfId="6" applyNumberFormat="1" applyFont="1" applyFill="1"/>
    <xf numFmtId="42" fontId="10" fillId="6" borderId="0" xfId="4" applyNumberFormat="1" applyFont="1" applyFill="1"/>
    <xf numFmtId="171" fontId="10" fillId="6" borderId="0" xfId="1" applyNumberFormat="1" applyFont="1" applyFill="1"/>
    <xf numFmtId="171" fontId="10" fillId="6" borderId="10" xfId="1" applyNumberFormat="1" applyFont="1" applyFill="1" applyBorder="1"/>
    <xf numFmtId="41" fontId="10" fillId="6" borderId="0" xfId="6" applyNumberFormat="1" applyFont="1" applyFill="1"/>
    <xf numFmtId="41" fontId="10" fillId="6" borderId="0" xfId="4" applyNumberFormat="1" applyFont="1" applyFill="1"/>
    <xf numFmtId="41" fontId="10" fillId="6" borderId="10" xfId="6" applyNumberFormat="1" applyFont="1" applyFill="1" applyBorder="1"/>
    <xf numFmtId="42" fontId="10" fillId="6" borderId="12" xfId="6" applyNumberFormat="1" applyFont="1" applyFill="1" applyBorder="1"/>
    <xf numFmtId="41" fontId="10" fillId="6" borderId="15" xfId="6" applyNumberFormat="1" applyFont="1" applyFill="1" applyBorder="1"/>
    <xf numFmtId="41" fontId="10" fillId="6" borderId="0" xfId="6" applyNumberFormat="1" applyFont="1" applyFill="1" applyBorder="1"/>
    <xf numFmtId="41" fontId="10" fillId="6" borderId="13" xfId="7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6" applyNumberFormat="1" applyFont="1" applyFill="1" applyAlignment="1">
      <alignment wrapText="1"/>
    </xf>
    <xf numFmtId="41" fontId="10" fillId="0" borderId="1" xfId="20" applyNumberFormat="1" applyFont="1" applyBorder="1" applyAlignment="1">
      <alignment horizontal="center"/>
    </xf>
    <xf numFmtId="167" fontId="46" fillId="0" borderId="0" xfId="7" applyNumberFormat="1" applyFont="1" applyFill="1"/>
    <xf numFmtId="172" fontId="53" fillId="0" borderId="0" xfId="7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1" fontId="55" fillId="0" borderId="0" xfId="6" applyNumberFormat="1" applyFont="1" applyFill="1" applyAlignment="1">
      <alignment vertical="top" wrapText="1"/>
    </xf>
    <xf numFmtId="41" fontId="14" fillId="0" borderId="0" xfId="20" quotePrefix="1" applyNumberFormat="1" applyFont="1" applyAlignment="1">
      <alignment horizontal="center" vertical="top"/>
    </xf>
    <xf numFmtId="171" fontId="14" fillId="0" borderId="1" xfId="1" applyNumberFormat="1" applyFont="1" applyFill="1" applyBorder="1" applyAlignment="1">
      <alignment horizontal="center"/>
    </xf>
    <xf numFmtId="171" fontId="14" fillId="0" borderId="5" xfId="1" applyNumberFormat="1" applyFont="1" applyFill="1" applyBorder="1" applyAlignment="1">
      <alignment horizontal="center"/>
    </xf>
    <xf numFmtId="171" fontId="14" fillId="0" borderId="8" xfId="1" applyNumberFormat="1" applyFont="1" applyFill="1" applyBorder="1" applyAlignment="1">
      <alignment horizontal="center"/>
    </xf>
    <xf numFmtId="171" fontId="14" fillId="0" borderId="0" xfId="1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0" fontId="29" fillId="0" borderId="10" xfId="7" applyNumberFormat="1" applyFont="1" applyFill="1" applyBorder="1"/>
    <xf numFmtId="3" fontId="10" fillId="0" borderId="1" xfId="20" applyNumberFormat="1" applyFont="1" applyBorder="1" applyAlignment="1">
      <alignment horizontal="center"/>
    </xf>
    <xf numFmtId="3" fontId="10" fillId="0" borderId="5" xfId="20" applyNumberFormat="1" applyFont="1" applyBorder="1" applyAlignment="1">
      <alignment horizontal="center"/>
    </xf>
    <xf numFmtId="3" fontId="10" fillId="0" borderId="8" xfId="20" applyNumberFormat="1" applyFont="1" applyBorder="1" applyAlignment="1">
      <alignment horizontal="center"/>
    </xf>
    <xf numFmtId="10" fontId="52" fillId="0" borderId="0" xfId="0" applyNumberFormat="1" applyFont="1"/>
    <xf numFmtId="5" fontId="29" fillId="0" borderId="0" xfId="0" applyNumberFormat="1" applyFont="1" applyAlignment="1">
      <alignment horizontal="left"/>
    </xf>
    <xf numFmtId="179" fontId="13" fillId="0" borderId="0" xfId="7" applyNumberFormat="1" applyFont="1" applyBorder="1" applyAlignment="1">
      <alignment horizontal="right"/>
    </xf>
    <xf numFmtId="0" fontId="29" fillId="0" borderId="10" xfId="0" applyFont="1" applyBorder="1" applyAlignment="1">
      <alignment horizontal="center"/>
    </xf>
    <xf numFmtId="5" fontId="29" fillId="0" borderId="0" xfId="0" applyNumberFormat="1" applyFont="1" applyAlignment="1">
      <alignment horizontal="center"/>
    </xf>
    <xf numFmtId="172" fontId="47" fillId="0" borderId="0" xfId="2" applyNumberFormat="1" applyFont="1" applyBorder="1" applyAlignment="1">
      <alignment horizontal="right"/>
    </xf>
    <xf numFmtId="5" fontId="29" fillId="0" borderId="10" xfId="0" applyNumberFormat="1" applyFont="1" applyBorder="1" applyAlignment="1">
      <alignment horizontal="center"/>
    </xf>
    <xf numFmtId="5" fontId="29" fillId="0" borderId="10" xfId="0" applyNumberFormat="1" applyFont="1" applyBorder="1"/>
    <xf numFmtId="0" fontId="29" fillId="0" borderId="0" xfId="0" applyFont="1" applyAlignment="1">
      <alignment horizontal="right"/>
    </xf>
    <xf numFmtId="5" fontId="29" fillId="0" borderId="16" xfId="0" applyNumberFormat="1" applyFont="1" applyBorder="1"/>
    <xf numFmtId="41" fontId="8" fillId="0" borderId="0" xfId="20" applyNumberFormat="1" applyFont="1"/>
    <xf numFmtId="42" fontId="8" fillId="0" borderId="0" xfId="20" applyNumberFormat="1" applyFont="1"/>
    <xf numFmtId="3" fontId="8" fillId="0" borderId="0" xfId="6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41" fontId="10" fillId="0" borderId="15" xfId="96" applyNumberFormat="1" applyFont="1" applyBorder="1" applyAlignment="1">
      <alignment horizontal="centerContinuous"/>
    </xf>
    <xf numFmtId="41" fontId="10" fillId="0" borderId="14" xfId="96" applyNumberFormat="1" applyFont="1" applyBorder="1" applyAlignment="1">
      <alignment horizontal="centerContinuous"/>
    </xf>
    <xf numFmtId="41" fontId="10" fillId="0" borderId="39" xfId="96" applyNumberFormat="1" applyFont="1" applyBorder="1" applyAlignment="1">
      <alignment horizontal="centerContinuous"/>
    </xf>
    <xf numFmtId="41" fontId="8" fillId="5" borderId="5" xfId="6" applyNumberFormat="1" applyFont="1" applyFill="1" applyBorder="1"/>
    <xf numFmtId="5" fontId="8" fillId="2" borderId="0" xfId="0" applyNumberFormat="1" applyFont="1" applyFill="1"/>
    <xf numFmtId="10" fontId="13" fillId="0" borderId="10" xfId="0" applyNumberFormat="1" applyFont="1" applyBorder="1" applyAlignment="1">
      <alignment horizontal="center" vertical="center"/>
    </xf>
    <xf numFmtId="0" fontId="13" fillId="0" borderId="0" xfId="0" applyFont="1"/>
    <xf numFmtId="37" fontId="8" fillId="5" borderId="40" xfId="6" applyNumberFormat="1" applyFont="1" applyFill="1" applyBorder="1"/>
    <xf numFmtId="3" fontId="8" fillId="5" borderId="5" xfId="6" applyNumberFormat="1" applyFont="1" applyFill="1" applyBorder="1"/>
    <xf numFmtId="0" fontId="13" fillId="0" borderId="10" xfId="0" applyFont="1" applyBorder="1" applyAlignment="1">
      <alignment horizontal="center"/>
    </xf>
    <xf numFmtId="41" fontId="13" fillId="0" borderId="10" xfId="0" applyNumberFormat="1" applyFont="1" applyBorder="1" applyAlignment="1">
      <alignment horizontal="center" wrapText="1"/>
    </xf>
    <xf numFmtId="0" fontId="13" fillId="0" borderId="16" xfId="0" applyFont="1" applyBorder="1"/>
    <xf numFmtId="37" fontId="8" fillId="5" borderId="12" xfId="6" applyNumberFormat="1" applyFont="1" applyFill="1" applyBorder="1"/>
    <xf numFmtId="10" fontId="14" fillId="0" borderId="15" xfId="0" applyNumberFormat="1" applyFont="1" applyBorder="1" applyAlignment="1">
      <alignment horizontal="center"/>
    </xf>
    <xf numFmtId="5" fontId="13" fillId="0" borderId="15" xfId="0" applyNumberFormat="1" applyFont="1" applyBorder="1"/>
    <xf numFmtId="41" fontId="8" fillId="5" borderId="15" xfId="6" applyNumberFormat="1" applyFont="1" applyFill="1" applyBorder="1"/>
    <xf numFmtId="5" fontId="13" fillId="0" borderId="41" xfId="0" applyNumberFormat="1" applyFont="1" applyBorder="1"/>
    <xf numFmtId="10" fontId="14" fillId="0" borderId="16" xfId="0" applyNumberFormat="1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7" fillId="0" borderId="0" xfId="0" applyFont="1"/>
    <xf numFmtId="5" fontId="13" fillId="0" borderId="0" xfId="0" applyNumberFormat="1" applyFont="1"/>
    <xf numFmtId="0" fontId="28" fillId="0" borderId="0" xfId="0" applyFont="1"/>
    <xf numFmtId="5" fontId="19" fillId="0" borderId="0" xfId="0" applyNumberFormat="1" applyFont="1"/>
    <xf numFmtId="0" fontId="13" fillId="0" borderId="0" xfId="0" applyFont="1" applyBorder="1" applyAlignment="1">
      <alignment horizontal="left"/>
    </xf>
    <xf numFmtId="171" fontId="13" fillId="0" borderId="0" xfId="1" applyNumberFormat="1" applyFont="1"/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/>
    <xf numFmtId="171" fontId="13" fillId="0" borderId="0" xfId="1" applyNumberFormat="1" applyFont="1" applyFill="1" applyBorder="1"/>
    <xf numFmtId="5" fontId="20" fillId="0" borderId="0" xfId="0" applyNumberFormat="1" applyFont="1"/>
    <xf numFmtId="5" fontId="13" fillId="0" borderId="0" xfId="0" applyNumberFormat="1" applyFont="1" applyFill="1"/>
    <xf numFmtId="5" fontId="13" fillId="0" borderId="0" xfId="0" applyNumberFormat="1" applyFont="1" applyFill="1" applyBorder="1"/>
    <xf numFmtId="172" fontId="13" fillId="0" borderId="0" xfId="2" applyNumberFormat="1" applyFont="1" applyFill="1" applyBorder="1"/>
    <xf numFmtId="0" fontId="13" fillId="0" borderId="0" xfId="0" applyFont="1" applyFill="1" applyAlignment="1">
      <alignment horizontal="right"/>
    </xf>
    <xf numFmtId="172" fontId="13" fillId="0" borderId="0" xfId="2" applyNumberFormat="1" applyFont="1" applyBorder="1"/>
    <xf numFmtId="2" fontId="13" fillId="0" borderId="0" xfId="0" applyNumberFormat="1" applyFont="1"/>
    <xf numFmtId="0" fontId="0" fillId="0" borderId="0" xfId="0"/>
    <xf numFmtId="0" fontId="13" fillId="0" borderId="0" xfId="0" applyFont="1"/>
    <xf numFmtId="0" fontId="19" fillId="0" borderId="0" xfId="0" applyFont="1"/>
    <xf numFmtId="5" fontId="19" fillId="0" borderId="0" xfId="0" applyNumberFormat="1" applyFont="1"/>
    <xf numFmtId="6" fontId="13" fillId="0" borderId="0" xfId="0" applyNumberFormat="1" applyFont="1"/>
    <xf numFmtId="0" fontId="13" fillId="0" borderId="0" xfId="0" applyFont="1" applyFill="1" applyBorder="1"/>
    <xf numFmtId="0" fontId="13" fillId="0" borderId="0" xfId="0" applyFont="1" applyFill="1"/>
    <xf numFmtId="5" fontId="20" fillId="0" borderId="0" xfId="0" applyNumberFormat="1" applyFont="1"/>
    <xf numFmtId="5" fontId="13" fillId="0" borderId="0" xfId="0" applyNumberFormat="1" applyFont="1" applyFill="1"/>
    <xf numFmtId="5" fontId="13" fillId="0" borderId="0" xfId="0" applyNumberFormat="1" applyFont="1" applyFill="1" applyAlignment="1">
      <alignment horizontal="right"/>
    </xf>
    <xf numFmtId="5" fontId="13" fillId="0" borderId="0" xfId="0" applyNumberFormat="1" applyFont="1" applyBorder="1" applyAlignment="1">
      <alignment horizontal="right"/>
    </xf>
    <xf numFmtId="5" fontId="13" fillId="0" borderId="0" xfId="0" applyNumberFormat="1" applyFont="1" applyAlignment="1">
      <alignment horizontal="right"/>
    </xf>
    <xf numFmtId="5" fontId="13" fillId="0" borderId="16" xfId="2" applyNumberFormat="1" applyFont="1" applyFill="1" applyBorder="1"/>
    <xf numFmtId="5" fontId="84" fillId="0" borderId="16" xfId="0" applyNumberFormat="1" applyFont="1" applyFill="1" applyBorder="1"/>
    <xf numFmtId="5" fontId="13" fillId="0" borderId="0" xfId="0" applyNumberFormat="1" applyFont="1" applyFill="1" applyBorder="1"/>
    <xf numFmtId="171" fontId="84" fillId="0" borderId="0" xfId="0" applyNumberFormat="1" applyFont="1" applyFill="1"/>
    <xf numFmtId="10" fontId="10" fillId="5" borderId="0" xfId="7" applyNumberFormat="1" applyFont="1" applyFill="1"/>
    <xf numFmtId="5" fontId="13" fillId="2" borderId="0" xfId="2" applyNumberFormat="1" applyFont="1" applyFill="1"/>
    <xf numFmtId="3" fontId="8" fillId="5" borderId="5" xfId="0" applyNumberFormat="1" applyFont="1" applyFill="1" applyBorder="1"/>
    <xf numFmtId="41" fontId="8" fillId="5" borderId="0" xfId="1" applyNumberFormat="1" applyFont="1" applyFill="1" applyBorder="1"/>
    <xf numFmtId="0" fontId="13" fillId="7" borderId="26" xfId="0" applyFont="1" applyFill="1" applyBorder="1"/>
    <xf numFmtId="171" fontId="8" fillId="5" borderId="0" xfId="1" applyNumberFormat="1" applyFont="1" applyFill="1"/>
    <xf numFmtId="41" fontId="8" fillId="5" borderId="0" xfId="1" applyNumberFormat="1" applyFont="1" applyFill="1"/>
    <xf numFmtId="41" fontId="8" fillId="5" borderId="0" xfId="6" applyNumberFormat="1" applyFont="1" applyFill="1"/>
    <xf numFmtId="0" fontId="8" fillId="0" borderId="10" xfId="0" applyFont="1" applyFill="1" applyBorder="1" applyAlignment="1">
      <alignment horizontal="center"/>
    </xf>
    <xf numFmtId="168" fontId="8" fillId="5" borderId="0" xfId="6" applyNumberFormat="1" applyFont="1" applyFill="1"/>
    <xf numFmtId="41" fontId="8" fillId="5" borderId="8" xfId="6" applyNumberFormat="1" applyFont="1" applyFill="1" applyBorder="1"/>
    <xf numFmtId="3" fontId="11" fillId="5" borderId="0" xfId="0" applyNumberFormat="1" applyFont="1" applyFill="1" applyAlignment="1">
      <alignment horizontal="center"/>
    </xf>
    <xf numFmtId="171" fontId="85" fillId="0" borderId="0" xfId="1" applyNumberFormat="1" applyFont="1" applyAlignment="1">
      <alignment vertical="center" wrapText="1"/>
    </xf>
    <xf numFmtId="0" fontId="8" fillId="5" borderId="0" xfId="20" applyFont="1" applyFill="1"/>
    <xf numFmtId="41" fontId="10" fillId="0" borderId="0" xfId="22" applyNumberFormat="1" applyFont="1" applyFill="1" applyBorder="1" applyAlignment="1">
      <alignment horizontal="center"/>
    </xf>
    <xf numFmtId="3" fontId="8" fillId="5" borderId="0" xfId="0" applyNumberFormat="1" applyFont="1" applyFill="1"/>
    <xf numFmtId="10" fontId="8" fillId="0" borderId="0" xfId="0" applyNumberFormat="1" applyFont="1" applyFill="1" applyAlignment="1">
      <alignment horizontal="center"/>
    </xf>
    <xf numFmtId="41" fontId="8" fillId="5" borderId="40" xfId="6" applyNumberFormat="1" applyFont="1" applyFill="1" applyBorder="1"/>
    <xf numFmtId="168" fontId="8" fillId="5" borderId="5" xfId="6" applyNumberFormat="1" applyFont="1" applyFill="1" applyBorder="1"/>
    <xf numFmtId="170" fontId="8" fillId="5" borderId="0" xfId="7" applyNumberFormat="1" applyFont="1" applyFill="1" applyBorder="1"/>
    <xf numFmtId="41" fontId="8" fillId="5" borderId="10" xfId="6" applyNumberFormat="1" applyFont="1" applyFill="1" applyBorder="1"/>
    <xf numFmtId="41" fontId="8" fillId="5" borderId="39" xfId="6" applyNumberFormat="1" applyFont="1" applyFill="1" applyBorder="1"/>
    <xf numFmtId="3" fontId="11" fillId="5" borderId="5" xfId="0" applyNumberFormat="1" applyFont="1" applyFill="1" applyBorder="1" applyAlignment="1">
      <alignment horizontal="center"/>
    </xf>
    <xf numFmtId="41" fontId="8" fillId="5" borderId="12" xfId="6" applyNumberFormat="1" applyFont="1" applyFill="1" applyBorder="1"/>
    <xf numFmtId="41" fontId="8" fillId="5" borderId="0" xfId="6" applyNumberFormat="1" applyFont="1" applyFill="1" applyBorder="1"/>
    <xf numFmtId="171" fontId="8" fillId="5" borderId="5" xfId="1" applyNumberFormat="1" applyFont="1" applyFill="1" applyBorder="1"/>
    <xf numFmtId="37" fontId="34" fillId="5" borderId="0" xfId="5" applyNumberFormat="1" applyFont="1" applyFill="1" applyBorder="1" applyAlignment="1">
      <alignment vertical="top"/>
    </xf>
    <xf numFmtId="41" fontId="8" fillId="5" borderId="1" xfId="6" applyNumberFormat="1" applyFont="1" applyFill="1" applyBorder="1"/>
    <xf numFmtId="5" fontId="13" fillId="7" borderId="27" xfId="0" applyNumberFormat="1" applyFont="1" applyFill="1" applyBorder="1"/>
    <xf numFmtId="0" fontId="13" fillId="0" borderId="0" xfId="0" applyFont="1" applyFill="1"/>
    <xf numFmtId="0" fontId="8" fillId="0" borderId="0" xfId="0" applyFont="1" applyFill="1" applyAlignment="1">
      <alignment horizontal="right"/>
    </xf>
    <xf numFmtId="41" fontId="10" fillId="5" borderId="8" xfId="20" applyNumberFormat="1" applyFont="1" applyFill="1" applyBorder="1" applyAlignment="1">
      <alignment horizontal="center"/>
    </xf>
    <xf numFmtId="41" fontId="10" fillId="0" borderId="0" xfId="20" applyNumberFormat="1" applyFont="1" applyFill="1" applyBorder="1" applyAlignment="1">
      <alignment horizontal="center"/>
    </xf>
    <xf numFmtId="41" fontId="10" fillId="5" borderId="1" xfId="20" applyNumberFormat="1" applyFont="1" applyFill="1" applyBorder="1" applyAlignment="1">
      <alignment horizontal="center"/>
    </xf>
    <xf numFmtId="41" fontId="8" fillId="5" borderId="0" xfId="0" applyNumberFormat="1" applyFont="1" applyFill="1"/>
    <xf numFmtId="10" fontId="8" fillId="5" borderId="0" xfId="0" applyNumberFormat="1" applyFont="1" applyFill="1"/>
    <xf numFmtId="176" fontId="8" fillId="5" borderId="0" xfId="0" applyNumberFormat="1" applyFont="1" applyFill="1"/>
    <xf numFmtId="41" fontId="8" fillId="5" borderId="17" xfId="0" applyNumberFormat="1" applyFont="1" applyFill="1" applyBorder="1"/>
    <xf numFmtId="0" fontId="13" fillId="7" borderId="27" xfId="0" applyFont="1" applyFill="1" applyBorder="1"/>
    <xf numFmtId="0" fontId="13" fillId="7" borderId="28" xfId="0" applyFont="1" applyFill="1" applyBorder="1"/>
    <xf numFmtId="14" fontId="30" fillId="5" borderId="10" xfId="0" quotePrefix="1" applyNumberFormat="1" applyFont="1" applyFill="1" applyBorder="1" applyAlignment="1">
      <alignment horizontal="center"/>
    </xf>
    <xf numFmtId="41" fontId="13" fillId="0" borderId="0" xfId="0" applyNumberFormat="1" applyFont="1" applyBorder="1"/>
    <xf numFmtId="41" fontId="13" fillId="8" borderId="10" xfId="1" applyNumberFormat="1" applyFont="1" applyFill="1" applyBorder="1"/>
    <xf numFmtId="41" fontId="13" fillId="8" borderId="17" xfId="1" applyNumberFormat="1" applyFont="1" applyFill="1" applyBorder="1"/>
    <xf numFmtId="4" fontId="13" fillId="8" borderId="37" xfId="13" applyNumberFormat="1" applyFont="1" applyFill="1" applyBorder="1" applyAlignment="1">
      <alignment horizontal="center"/>
    </xf>
    <xf numFmtId="0" fontId="13" fillId="8" borderId="36" xfId="13" applyFont="1" applyFill="1" applyBorder="1" applyAlignment="1">
      <alignment horizontal="center"/>
    </xf>
    <xf numFmtId="0" fontId="13" fillId="0" borderId="26" xfId="0" applyFont="1" applyFill="1" applyBorder="1"/>
    <xf numFmtId="0" fontId="13" fillId="0" borderId="27" xfId="0" applyFont="1" applyFill="1" applyBorder="1"/>
    <xf numFmtId="5" fontId="13" fillId="0" borderId="27" xfId="0" applyNumberFormat="1" applyFont="1" applyFill="1" applyBorder="1"/>
    <xf numFmtId="0" fontId="13" fillId="0" borderId="28" xfId="0" applyFont="1" applyFill="1" applyBorder="1"/>
    <xf numFmtId="172" fontId="86" fillId="0" borderId="0" xfId="2" applyNumberFormat="1" applyFont="1" applyFill="1"/>
    <xf numFmtId="15" fontId="31" fillId="5" borderId="13" xfId="0" quotePrefix="1" applyNumberFormat="1" applyFont="1" applyFill="1" applyBorder="1" applyAlignment="1">
      <alignment horizontal="center"/>
    </xf>
    <xf numFmtId="15" fontId="31" fillId="5" borderId="15" xfId="0" quotePrefix="1" applyNumberFormat="1" applyFont="1" applyFill="1" applyBorder="1" applyAlignment="1">
      <alignment horizontal="center"/>
    </xf>
    <xf numFmtId="41" fontId="31" fillId="5" borderId="15" xfId="0" quotePrefix="1" applyNumberFormat="1" applyFont="1" applyFill="1" applyBorder="1" applyAlignment="1">
      <alignment horizontal="center"/>
    </xf>
    <xf numFmtId="41" fontId="31" fillId="5" borderId="14" xfId="0" quotePrefix="1" applyNumberFormat="1" applyFont="1" applyFill="1" applyBorder="1" applyAlignment="1">
      <alignment horizontal="center"/>
    </xf>
    <xf numFmtId="15" fontId="31" fillId="5" borderId="14" xfId="0" quotePrefix="1" applyNumberFormat="1" applyFont="1" applyFill="1" applyBorder="1" applyAlignment="1">
      <alignment horizontal="center"/>
    </xf>
    <xf numFmtId="37" fontId="14" fillId="0" borderId="34" xfId="20" applyNumberFormat="1" applyFont="1" applyFill="1" applyBorder="1" applyAlignment="1">
      <alignment horizontal="center" wrapText="1"/>
    </xf>
    <xf numFmtId="37" fontId="14" fillId="0" borderId="35" xfId="20" applyNumberFormat="1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0" xfId="5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5" borderId="0" xfId="0" applyFont="1" applyFill="1" applyAlignment="1">
      <alignment horizontal="center" wrapText="1"/>
    </xf>
    <xf numFmtId="0" fontId="30" fillId="4" borderId="18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22" xfId="0" applyFont="1" applyFill="1" applyBorder="1" applyAlignment="1">
      <alignment horizontal="center"/>
    </xf>
    <xf numFmtId="5" fontId="8" fillId="0" borderId="0" xfId="20" applyNumberFormat="1" applyFont="1" applyFill="1" applyBorder="1" applyAlignment="1">
      <alignment horizontal="center" wrapText="1"/>
    </xf>
    <xf numFmtId="41" fontId="10" fillId="7" borderId="0" xfId="20" applyNumberFormat="1" applyFont="1" applyFill="1" applyAlignment="1">
      <alignment horizontal="center" wrapText="1"/>
    </xf>
    <xf numFmtId="41" fontId="10" fillId="7" borderId="10" xfId="2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3" fontId="8" fillId="5" borderId="0" xfId="0" applyNumberFormat="1" applyFont="1" applyFill="1" applyAlignment="1">
      <alignment horizontal="center"/>
    </xf>
    <xf numFmtId="41" fontId="83" fillId="0" borderId="0" xfId="20" applyNumberFormat="1" applyFont="1" applyAlignment="1">
      <alignment horizontal="center"/>
    </xf>
    <xf numFmtId="41" fontId="10" fillId="5" borderId="1" xfId="0" applyNumberFormat="1" applyFont="1" applyFill="1" applyBorder="1" applyAlignment="1">
      <alignment horizontal="center" wrapText="1"/>
    </xf>
    <xf numFmtId="41" fontId="10" fillId="5" borderId="8" xfId="0" applyNumberFormat="1" applyFont="1" applyFill="1" applyBorder="1" applyAlignment="1">
      <alignment horizontal="center" wrapText="1"/>
    </xf>
    <xf numFmtId="171" fontId="85" fillId="0" borderId="0" xfId="1" applyNumberFormat="1" applyFont="1" applyAlignment="1">
      <alignment horizontal="center" vertical="center" wrapText="1"/>
    </xf>
    <xf numFmtId="169" fontId="13" fillId="0" borderId="0" xfId="17" applyNumberFormat="1" applyFont="1" applyAlignment="1">
      <alignment horizontal="left" wrapText="1"/>
    </xf>
    <xf numFmtId="0" fontId="8" fillId="0" borderId="0" xfId="0" applyFont="1" applyAlignment="1">
      <alignment horizontal="center"/>
    </xf>
    <xf numFmtId="0" fontId="13" fillId="0" borderId="26" xfId="13" applyFont="1" applyBorder="1" applyAlignment="1">
      <alignment horizontal="center"/>
    </xf>
    <xf numFmtId="0" fontId="13" fillId="0" borderId="27" xfId="13" applyFont="1" applyBorder="1" applyAlignment="1">
      <alignment horizontal="center"/>
    </xf>
    <xf numFmtId="0" fontId="13" fillId="0" borderId="28" xfId="13" applyFont="1" applyBorder="1" applyAlignment="1">
      <alignment horizontal="center"/>
    </xf>
    <xf numFmtId="4" fontId="41" fillId="0" borderId="0" xfId="13" applyNumberFormat="1" applyFont="1" applyBorder="1" applyAlignment="1">
      <alignment horizontal="center"/>
    </xf>
    <xf numFmtId="4" fontId="14" fillId="0" borderId="0" xfId="13" applyNumberFormat="1" applyFont="1" applyBorder="1" applyAlignment="1">
      <alignment horizontal="center"/>
    </xf>
    <xf numFmtId="4" fontId="42" fillId="0" borderId="0" xfId="13" applyNumberFormat="1" applyFont="1" applyBorder="1" applyAlignment="1">
      <alignment horizontal="center"/>
    </xf>
    <xf numFmtId="4" fontId="13" fillId="0" borderId="0" xfId="13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220">
    <cellStyle name="Comma" xfId="1" builtinId="3"/>
    <cellStyle name="Comma 10" xfId="91" xr:uid="{3ADE128C-8899-475F-A60D-05BBF587B154}"/>
    <cellStyle name="Comma 10 2" xfId="158" xr:uid="{058C9137-E91D-4694-902D-5835A833C737}"/>
    <cellStyle name="Comma 10 3" xfId="200" xr:uid="{9E96BE3C-786C-481D-AB5E-BFCD75584BB5}"/>
    <cellStyle name="Comma 11" xfId="95" xr:uid="{3ADEB51F-412B-43D1-9C96-205903CED27A}"/>
    <cellStyle name="Comma 11 2" xfId="173" xr:uid="{AB0A9E16-D6D1-454A-85FB-F97DB15DA916}"/>
    <cellStyle name="Comma 11 3" xfId="215" xr:uid="{7A29F551-5AEC-4BAA-B8A1-A33A8FB49E6C}"/>
    <cellStyle name="Comma 12" xfId="177" xr:uid="{68B6AB16-CD76-4A49-9C9A-A0EBA37E7565}"/>
    <cellStyle name="Comma 12 2" xfId="218" xr:uid="{4C6CDCC4-A4C8-45A1-ABBB-C580372D3CEE}"/>
    <cellStyle name="Comma 14" xfId="169" xr:uid="{CD2758C8-FC5B-4A10-8677-9553E4DF312E}"/>
    <cellStyle name="Comma 14 2" xfId="211" xr:uid="{D01E2979-6C1F-48AA-86F8-4C0683B3C7F3}"/>
    <cellStyle name="Comma 2" xfId="21" xr:uid="{00000000-0005-0000-0000-000001000000}"/>
    <cellStyle name="Comma 2 2" xfId="25" xr:uid="{1DD2FDD2-2F8F-4131-934F-2C27F9E0388D}"/>
    <cellStyle name="Comma 2 2 2" xfId="66" xr:uid="{AF6A7869-4331-475B-B179-8706BBF0E10B}"/>
    <cellStyle name="Comma 2 3" xfId="37" xr:uid="{A0EF68D4-8058-4EAE-84E5-8E36FF858DF1}"/>
    <cellStyle name="Comma 2 3 2" xfId="123" xr:uid="{2A771510-91F2-4B24-8059-A42456D5BB63}"/>
    <cellStyle name="Comma 2 3 3" xfId="186" xr:uid="{B83528D3-DB12-43D4-A304-93397676DC1F}"/>
    <cellStyle name="Comma 2 4" xfId="80" xr:uid="{A1354B24-F502-453B-A98C-FFA60A574B4D}"/>
    <cellStyle name="Comma 2 4 2" xfId="127" xr:uid="{82653E2D-C8FF-44B2-8A79-2C50BC6E602C}"/>
    <cellStyle name="Comma 2 4 3" xfId="190" xr:uid="{BE22B360-8850-4C3E-8808-09D6ACB53CBC}"/>
    <cellStyle name="Comma 2 5" xfId="92" xr:uid="{F8D7FD13-502E-43CE-8071-CEA1B3CBAD7A}"/>
    <cellStyle name="Comma 2 6" xfId="150" xr:uid="{2F25335C-2132-4B94-BE9D-52C9F0B571F3}"/>
    <cellStyle name="Comma 2 7" xfId="160" xr:uid="{F17D607E-CD1C-412D-BFCF-216E318B8F08}"/>
    <cellStyle name="Comma 2 7 2" xfId="202" xr:uid="{2ACA48A3-0FB4-4645-9780-2763A5C5ABC9}"/>
    <cellStyle name="Comma 3" xfId="30" xr:uid="{6BB54C9C-87E6-4E37-94C1-53BF300EE21F}"/>
    <cellStyle name="Comma 3 2" xfId="33" xr:uid="{4AD59840-86BD-40C5-90EF-BD6CF6E31181}"/>
    <cellStyle name="Comma 3 2 2" xfId="103" xr:uid="{D7418385-367C-40C7-8AAF-FF9AB07A6A4A}"/>
    <cellStyle name="Comma 3 3" xfId="52" xr:uid="{1A16FFC9-2AE7-4374-B098-B0FED8A1C42D}"/>
    <cellStyle name="Comma 3 3 2" xfId="109" xr:uid="{D9EE94C8-006A-4E50-BAB5-8DAA13058F41}"/>
    <cellStyle name="Comma 3 4" xfId="55" xr:uid="{75806F58-A952-46C5-9E44-C6AE8378342D}"/>
    <cellStyle name="Comma 3 4 2" xfId="124" xr:uid="{94224782-3099-4A9C-B37B-16CBCCA8D279}"/>
    <cellStyle name="Comma 3 4 3" xfId="187" xr:uid="{E2CFFD11-3C8A-4473-BD3A-9FAFD8DC17B6}"/>
    <cellStyle name="Comma 3 5" xfId="67" xr:uid="{F38058A3-3635-4A17-A2BB-0A26CB05168C}"/>
    <cellStyle name="Comma 3 5 2" xfId="141" xr:uid="{FDFE8B8A-1756-4F62-8544-CF8AD58FCC06}"/>
    <cellStyle name="Comma 3 6" xfId="170" xr:uid="{22A27FCF-BBAC-4F97-8CBC-7A8FEC8BBE1D}"/>
    <cellStyle name="Comma 3 6 2" xfId="212" xr:uid="{2F7C5AEE-DD48-43FD-B032-4C8AA8BFD2F3}"/>
    <cellStyle name="Comma 3 7" xfId="98" xr:uid="{91D61654-61A9-4803-87C0-A681F196E051}"/>
    <cellStyle name="Comma 3 8" xfId="180" xr:uid="{FC2D84D2-9FDC-43C3-96BC-E405ADAF3070}"/>
    <cellStyle name="Comma 4" xfId="35" xr:uid="{50F703E1-A2A3-4608-BE57-E1D3100F8D50}"/>
    <cellStyle name="Comma 4 2" xfId="46" xr:uid="{61A1574E-ABD2-4B85-8071-4CCA3345BAF9}"/>
    <cellStyle name="Comma 4 3" xfId="143" xr:uid="{FCBCA8EE-38B5-4E55-900F-3D5434EF4E02}"/>
    <cellStyle name="Comma 4 3 2" xfId="197" xr:uid="{B3C31DB4-52E1-4826-BF44-06A2D01E8AD6}"/>
    <cellStyle name="Comma 4 4" xfId="166" xr:uid="{8E52885E-4F54-478A-8D4B-EB20141F7658}"/>
    <cellStyle name="Comma 4 4 2" xfId="208" xr:uid="{E404D594-6D93-43B4-BD00-702D52A00A7F}"/>
    <cellStyle name="Comma 4 5" xfId="105" xr:uid="{E88D844C-F04E-47E5-AD62-FC156521D021}"/>
    <cellStyle name="Comma 5" xfId="56" xr:uid="{145AE8EE-AEB9-405F-8118-C14A707F986E}"/>
    <cellStyle name="Comma 6" xfId="39" xr:uid="{BED93EB0-6EB7-4575-A7D0-E5781C5ED41B}"/>
    <cellStyle name="Comma 6 2" xfId="154" xr:uid="{30E2FA31-3C34-4EF5-B7E5-6E66A159678C}"/>
    <cellStyle name="Comma 6 3" xfId="113" xr:uid="{0FC434DA-C9EA-47AE-B153-83F58A556B4D}"/>
    <cellStyle name="Comma 7" xfId="61" xr:uid="{90060131-3FCC-455D-B0CD-6A61D6F18F78}"/>
    <cellStyle name="Comma 7 2" xfId="119" xr:uid="{B4CA2559-B035-4F93-9269-F0056750B42D}"/>
    <cellStyle name="Comma 7 3" xfId="184" xr:uid="{85EC36BB-3699-4BF4-8D55-79E1FEC16922}"/>
    <cellStyle name="Comma 8" xfId="76" xr:uid="{72F4761F-F110-4C1E-A7D3-0A952FDCAAD0}"/>
    <cellStyle name="Comma 9" xfId="84" xr:uid="{4B56FAD7-4326-40A9-B715-4D7A1270F9DD}"/>
    <cellStyle name="Comma 9 2" xfId="140" xr:uid="{60CC1CE8-AA97-4837-BF85-643683C676CA}"/>
    <cellStyle name="Currency" xfId="2" builtinId="4"/>
    <cellStyle name="Currency 10" xfId="145" xr:uid="{CA2DCB59-9AB8-447C-9F3D-B5FC9C2A8A95}"/>
    <cellStyle name="Currency 11" xfId="147" xr:uid="{5E45E280-0821-44ED-94F5-98E9D3C127EF}"/>
    <cellStyle name="Currency 12" xfId="174" xr:uid="{3C402DCA-A81C-430C-B7BA-B65561906C1F}"/>
    <cellStyle name="Currency 12 2" xfId="216" xr:uid="{84A5815D-B2C1-470D-8F0E-7F54EE44075E}"/>
    <cellStyle name="Currency 13" xfId="178" xr:uid="{9D7C6499-44E1-401A-9572-CCE1185009F2}"/>
    <cellStyle name="Currency 13 2" xfId="219" xr:uid="{A94EB549-CA47-4FD8-B92D-6E9C2C295989}"/>
    <cellStyle name="Currency 2" xfId="14" xr:uid="{00000000-0005-0000-0000-000003000000}"/>
    <cellStyle name="Currency 2 2" xfId="57" xr:uid="{A8BD0344-3B7C-4969-ACD2-BC0C087CB027}"/>
    <cellStyle name="Currency 2 2 2" xfId="86" xr:uid="{42AE1E6A-F5B3-4882-967D-17E9E8897C7E}"/>
    <cellStyle name="Currency 2 3" xfId="83" xr:uid="{96638423-A141-484C-9178-381308BA60E8}"/>
    <cellStyle name="Currency 2 3 2" xfId="137" xr:uid="{4DB68830-0357-4A2F-BFEF-BC69139D8F80}"/>
    <cellStyle name="Currency 2 3 3" xfId="195" xr:uid="{1C183B4F-69D7-4527-9B79-5A2EA59E8282}"/>
    <cellStyle name="Currency 3" xfId="38" xr:uid="{B7ED6E06-A3DD-4CB4-BD97-3F7D77CD13F0}"/>
    <cellStyle name="Currency 3 2" xfId="64" xr:uid="{0209FC29-7C1E-47C0-A918-AA3B9A12039E}"/>
    <cellStyle name="Currency 3 2 2" xfId="72" xr:uid="{4C7285C2-A485-4D0B-BE8B-EFA0D3109806}"/>
    <cellStyle name="Currency 3 3" xfId="153" xr:uid="{51700AF1-1657-4681-8ED6-564651BADDAA}"/>
    <cellStyle name="Currency 3 4" xfId="171" xr:uid="{F7F3EE76-3FC3-4DBA-998F-EA27BAF4C22D}"/>
    <cellStyle name="Currency 3 4 2" xfId="213" xr:uid="{111CF2C7-C168-4F62-904A-00AA9D3A5941}"/>
    <cellStyle name="Currency 3 5" xfId="106" xr:uid="{9C1C952A-CB8D-4A3C-92EA-1B2B6DE445D2}"/>
    <cellStyle name="Currency 4" xfId="42" xr:uid="{B9DF8EF0-0F13-4447-A3F0-1E83AE4026FC}"/>
    <cellStyle name="Currency 4 2" xfId="74" xr:uid="{5A77E583-5985-4917-8D02-372DD6BEDF72}"/>
    <cellStyle name="Currency 4 3" xfId="156" xr:uid="{08B875CB-9E8B-4650-B4D4-BD30EB7378BF}"/>
    <cellStyle name="Currency 4 4" xfId="112" xr:uid="{ECCB2235-F836-4559-AB53-D3D4428127A3}"/>
    <cellStyle name="Currency 5" xfId="43" xr:uid="{990A0355-33CB-43C2-B96D-7A85812462FD}"/>
    <cellStyle name="Currency 5 2" xfId="117" xr:uid="{7775ACF7-9AE1-40F3-B7D1-6034A65F75CD}"/>
    <cellStyle name="Currency 6" xfId="45" xr:uid="{F212B8E7-08C5-4B17-B9E1-6EF3F86562E1}"/>
    <cellStyle name="Currency 6 2" xfId="121" xr:uid="{81EEE35C-1C15-4060-9F52-8A7512FDA107}"/>
    <cellStyle name="Currency 6 3" xfId="185" xr:uid="{753A4458-9108-4C1B-B073-6347CC016445}"/>
    <cellStyle name="Currency 7" xfId="60" xr:uid="{82F62320-CEBC-45A0-9EF4-C9D833997D78}"/>
    <cellStyle name="Currency 7 2" xfId="130" xr:uid="{8776D119-0E8D-40C4-8B1F-EE75496F52E0}"/>
    <cellStyle name="Currency 7 3" xfId="193" xr:uid="{057BFA61-1396-41CB-842D-9F902CA0B106}"/>
    <cellStyle name="Currency 8" xfId="70" xr:uid="{4FEE9DC8-5822-40D9-AAB3-C9537A4B2D0E}"/>
    <cellStyle name="Currency 9" xfId="93" xr:uid="{C3737DBC-57A7-45C0-A919-6C33B7BF19D9}"/>
    <cellStyle name="Currency 9 2" xfId="138" xr:uid="{E70DCB6D-A1F5-4BA5-90C0-E268CFDEB21D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10" xfId="68" xr:uid="{467577A5-B395-44E2-AE7C-F0F328E92AC3}"/>
    <cellStyle name="Normal 10 2" xfId="146" xr:uid="{17170973-334C-45C9-A9A7-2E1748165A10}"/>
    <cellStyle name="Normal 11" xfId="90" xr:uid="{FD9928F6-02A3-406A-9A28-55302094D05B}"/>
    <cellStyle name="Normal 11 2" xfId="157" xr:uid="{02BE9FE3-B7D7-478B-92F4-57EC10960BA7}"/>
    <cellStyle name="Normal 11 3" xfId="199" xr:uid="{A082064B-B487-469C-9EF6-3BC6E4CCA66C}"/>
    <cellStyle name="Normal 12" xfId="94" xr:uid="{01903B35-617F-4B8A-8A15-D720F934806F}"/>
    <cellStyle name="Normal 12 2" xfId="172" xr:uid="{63F5F596-BEAE-4C55-906D-32D578D96929}"/>
    <cellStyle name="Normal 12 3" xfId="214" xr:uid="{C85AF6B1-3CEB-4364-8CE4-DA90D529FE78}"/>
    <cellStyle name="Normal 13" xfId="176" xr:uid="{0A2CC56B-47A2-4EBE-96C1-DBBD60F17A83}"/>
    <cellStyle name="Normal 13 2" xfId="217" xr:uid="{726E8DF5-7C60-4FB4-888A-F23EF83D41C8}"/>
    <cellStyle name="Normal 16" xfId="96" xr:uid="{FD32D3B7-1A99-4A1A-9A1E-6F15DEA8B033}"/>
    <cellStyle name="Normal 2" xfId="16" xr:uid="{00000000-0005-0000-0000-00000A000000}"/>
    <cellStyle name="Normal 2 10" xfId="149" xr:uid="{9BDB610F-09C1-4D4A-B548-B7620D9AFCC2}"/>
    <cellStyle name="Normal 2 10 3 8 2" xfId="100" xr:uid="{42226728-BE44-432B-A809-44B4D240E84F}"/>
    <cellStyle name="Normal 2 10 3 8 2 2" xfId="182" xr:uid="{59EFD091-70CB-4EF9-8042-3F87B4B9CC99}"/>
    <cellStyle name="Normal 2 11" xfId="159" xr:uid="{BC65EF2A-F9F7-4C7C-84CD-2A63A1950DB8}"/>
    <cellStyle name="Normal 2 11 2" xfId="201" xr:uid="{6151E37E-873F-4E0F-97FF-164B7FF45DA4}"/>
    <cellStyle name="Normal 2 12" xfId="175" xr:uid="{67790A75-AD28-4BB3-B004-BC8F4F5E177A}"/>
    <cellStyle name="Normal 2 2" xfId="17" xr:uid="{00000000-0005-0000-0000-00000B000000}"/>
    <cellStyle name="Normal 2 2 2" xfId="54" xr:uid="{251429D5-6D0C-430A-8432-3CD5687C14D0}"/>
    <cellStyle name="Normal 2 2 2 2" xfId="88" xr:uid="{57D75D10-35EF-4981-BA50-266D7017D7C7}"/>
    <cellStyle name="Normal 2 2 2 2 2" xfId="163" xr:uid="{3C3D1454-3AC6-4B7B-BD1F-D13A9DD19665}"/>
    <cellStyle name="Normal 2 2 2 2 3" xfId="205" xr:uid="{71EC4AC3-50C7-42E9-9869-E2AFF45C9AFD}"/>
    <cellStyle name="Normal 2 2 3" xfId="85" xr:uid="{B669DD6C-8B7D-4F3D-A4A2-9EEF239DE603}"/>
    <cellStyle name="Normal 2 2 3 2" xfId="161" xr:uid="{110F6399-0387-4FFF-BAD7-61F081116817}"/>
    <cellStyle name="Normal 2 2 3 3" xfId="203" xr:uid="{2DD54980-C7C9-4307-846A-66794333D32D}"/>
    <cellStyle name="Normal 2 3" xfId="18" xr:uid="{00000000-0005-0000-0000-00000C000000}"/>
    <cellStyle name="Normal 2 3 2" xfId="26" xr:uid="{13BFB77E-EAD4-4049-BCC6-3C775E6EB7BA}"/>
    <cellStyle name="Normal 2 4" xfId="23" xr:uid="{E797A55D-58C3-4D3D-872F-5002F02696D1}"/>
    <cellStyle name="Normal 2 4 2" xfId="101" xr:uid="{ABA33C1B-168B-4881-8EFB-0D37CC8FF38A}"/>
    <cellStyle name="Normal 2 5" xfId="51" xr:uid="{89CE337F-7C38-4103-AA30-E966E46D4B55}"/>
    <cellStyle name="Normal 2 5 2" xfId="152" xr:uid="{0C92A0A1-C49D-4CCC-A5D4-AE14E8006D57}"/>
    <cellStyle name="Normal 2 5 3" xfId="114" xr:uid="{A1763CEA-EA60-4814-B49E-9432451FF750}"/>
    <cellStyle name="Normal 2 6" xfId="62" xr:uid="{9B9B98B3-86FC-4771-94B3-149FB2E54499}"/>
    <cellStyle name="Normal 2 6 2" xfId="116" xr:uid="{2DD83BD7-E038-4ED5-80B2-D5706A5685F2}"/>
    <cellStyle name="Normal 2 7" xfId="79" xr:uid="{C825ACEE-7807-4E36-8DAA-1C52A88C05CC}"/>
    <cellStyle name="Normal 2 7 2" xfId="120" xr:uid="{AB8D958A-0D36-4240-8B4A-00130E07A0AD}"/>
    <cellStyle name="Normal 2 8" xfId="81" xr:uid="{9DACD38E-D94B-4ACE-9846-5371C71BBB6E}"/>
    <cellStyle name="Normal 2 8 2" xfId="125" xr:uid="{06AC6EA4-2F2A-4F04-9F14-77B3A8DC29DE}"/>
    <cellStyle name="Normal 2 8 3" xfId="188" xr:uid="{4A58EB82-8B59-4BB7-92C9-64422A3AB968}"/>
    <cellStyle name="Normal 2 9" xfId="135" xr:uid="{C9597D42-04DB-4557-8B7D-2B5EF14F3348}"/>
    <cellStyle name="Normal 3" xfId="29" xr:uid="{8E1141DB-B0F0-4993-ADB7-0F2DB08FAE7D}"/>
    <cellStyle name="Normal 3 2" xfId="36" xr:uid="{5FF9D95F-0084-4447-BED0-0B2AB404E551}"/>
    <cellStyle name="Normal 3 2 2" xfId="48" xr:uid="{BF8DC018-C567-4695-B056-D00C980E675C}"/>
    <cellStyle name="Normal 3 2 2 2" xfId="134" xr:uid="{5B1AE1CA-43A0-48CD-83FE-BA24676E2B64}"/>
    <cellStyle name="Normal 3 2 3" xfId="73" xr:uid="{35114FBC-B68D-46F2-AAB9-B0391D925956}"/>
    <cellStyle name="Normal 3 2 3 2" xfId="139" xr:uid="{37B4BE2F-2EFA-43D2-9E30-88CE18BCEBC2}"/>
    <cellStyle name="Normal 3 2 4" xfId="151" xr:uid="{4E09818B-201B-41B3-B0E3-2F308328AD5A}"/>
    <cellStyle name="Normal 3 2 5" xfId="102" xr:uid="{033E3492-CB46-4A0D-8D51-50A38EDE367F}"/>
    <cellStyle name="Normal 3 3" xfId="75" xr:uid="{C792F4C2-454A-42A4-93D9-16371B0EE4BD}"/>
    <cellStyle name="Normal 3 4" xfId="82" xr:uid="{94FC497C-49B3-49C0-835A-A4EA19F8FFB6}"/>
    <cellStyle name="Normal 3 4 2" xfId="136" xr:uid="{92EFBA8E-4CA5-4786-BA2F-EC2E84539E58}"/>
    <cellStyle name="Normal 3 4 3" xfId="194" xr:uid="{3B4115EC-2D2C-4006-BE41-040FCB6C9938}"/>
    <cellStyle name="Normal 3 5" xfId="97" xr:uid="{885120B4-534F-4422-AA01-099E32B44290}"/>
    <cellStyle name="Normal 3 6" xfId="179" xr:uid="{FE98F292-1E77-467C-A890-91EE22DD34E6}"/>
    <cellStyle name="Normal 4" xfId="32" xr:uid="{BFAE8F36-A889-4822-BD25-53CC8AABD7D6}"/>
    <cellStyle name="Normal 4 2" xfId="110" xr:uid="{2489A568-B766-4091-B11C-263176520AC6}"/>
    <cellStyle name="Normal 4 3" xfId="165" xr:uid="{CA312F3D-B8E5-48AF-8278-F76F9A52F241}"/>
    <cellStyle name="Normal 4 3 2" xfId="207" xr:uid="{B54CEA58-914F-4021-982F-0267A491800C}"/>
    <cellStyle name="Normal 4 4" xfId="108" xr:uid="{014B9E7F-A89C-4CD2-B646-4F32C165D0B6}"/>
    <cellStyle name="Normal 48" xfId="27" xr:uid="{4C1E72DD-D415-4440-AB3E-64630B5C8EF3}"/>
    <cellStyle name="Normal 48 2" xfId="128" xr:uid="{86043055-86D1-4E21-A40A-7D5D8CFAD714}"/>
    <cellStyle name="Normal 48 3" xfId="191" xr:uid="{F4A99E02-6AEF-45C4-9F6E-20FB14F55650}"/>
    <cellStyle name="Normal 5" xfId="34" xr:uid="{4A7EBB00-6487-4174-AC8A-4CA8BD215231}"/>
    <cellStyle name="Normal 5 2" xfId="47" xr:uid="{3C9A096B-C419-4732-ACAE-6484466AFD0B}"/>
    <cellStyle name="Normal 5 3" xfId="142" xr:uid="{5621FE96-A9CC-4027-9047-DE0D93183004}"/>
    <cellStyle name="Normal 5 3 2" xfId="196" xr:uid="{231F98C9-5F91-4C57-827C-62C4694E04C6}"/>
    <cellStyle name="Normal 5 4" xfId="111" xr:uid="{94FD546B-33D7-49AF-BF50-E8CE429D605F}"/>
    <cellStyle name="Normal 6" xfId="12" xr:uid="{00000000-0005-0000-0000-00000D000000}"/>
    <cellStyle name="Normal 6 2" xfId="69" xr:uid="{9304F450-A109-4208-92D3-BE3134199D6B}"/>
    <cellStyle name="Normal 6 2 2" xfId="89" xr:uid="{8F9501C3-A527-409C-B4FA-819977E04616}"/>
    <cellStyle name="Normal 6 2 2 2" xfId="164" xr:uid="{9659D7D2-0070-4E8C-AE20-D9003C696ED3}"/>
    <cellStyle name="Normal 6 2 2 3" xfId="206" xr:uid="{008354B8-122B-4A6B-A83C-859A095A75E8}"/>
    <cellStyle name="Normal 6 3" xfId="87" xr:uid="{86919E86-72D1-4E65-920B-DCE22123E85A}"/>
    <cellStyle name="Normal 6 3 2" xfId="162" xr:uid="{81A21AAC-A679-48E2-A687-F010A4C1B9E5}"/>
    <cellStyle name="Normal 6 3 3" xfId="204" xr:uid="{D888AA02-6AB6-4800-9E51-F0F6B9CF4D08}"/>
    <cellStyle name="Normal 7" xfId="49" xr:uid="{87919A2E-522D-4EDD-A1A5-2BBD1D64F684}"/>
    <cellStyle name="Normal 7 2" xfId="115" xr:uid="{1A18957D-7747-425F-8D82-CE0FCFBAAA7C}"/>
    <cellStyle name="Normal 73" xfId="40" xr:uid="{83FB1B50-6B45-490B-8D2A-2DAC3A830946}"/>
    <cellStyle name="Normal 73 2" xfId="144" xr:uid="{782FE5DD-8249-4007-AB57-469C5675868C}"/>
    <cellStyle name="Normal 73 3" xfId="198" xr:uid="{F86D1FDD-84E2-44F7-B3CB-09B41CE589DC}"/>
    <cellStyle name="Normal 77 2" xfId="168" xr:uid="{2FE59172-DDAA-40D6-A17C-92270C5B7C46}"/>
    <cellStyle name="Normal 77 2 2" xfId="210" xr:uid="{AC6820A8-CF0B-4858-8305-EA16D7C4E27E}"/>
    <cellStyle name="Normal 8" xfId="44" xr:uid="{484A1372-76FA-4481-8C5F-9F50F97F5A3B}"/>
    <cellStyle name="Normal 8 2" xfId="122" xr:uid="{BD0516C1-C1EB-47EE-96DA-E8B5EDF52032}"/>
    <cellStyle name="Normal 8 3" xfId="118" xr:uid="{93D84CA7-E82B-4BAF-8095-E75CAA8849F8}"/>
    <cellStyle name="Normal 8 4" xfId="183" xr:uid="{076FDECA-0D0F-493D-90B9-D76211825A05}"/>
    <cellStyle name="Normal 9" xfId="59" xr:uid="{08226348-9C84-4D2C-87D7-7F0BBE7528AC}"/>
    <cellStyle name="Normal 9 2" xfId="132" xr:uid="{F65227D4-C957-414B-828A-1E2045DE607B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10" xfId="148" xr:uid="{420DFAC6-393E-454A-BB0D-C629DE075D2A}"/>
    <cellStyle name="Percent 2" xfId="19" xr:uid="{00000000-0005-0000-0000-000016000000}"/>
    <cellStyle name="Percent 2 2" xfId="24" xr:uid="{C1672843-4B24-46EC-9F1B-7B4B9B54103C}"/>
    <cellStyle name="Percent 2 2 2" xfId="65" xr:uid="{1E71B0E7-DCD7-4D51-8F5E-F69F8D757153}"/>
    <cellStyle name="Percent 2 2 3" xfId="104" xr:uid="{F1782B59-405E-4BD6-8B9D-8BD7F32E5684}"/>
    <cellStyle name="Percent 2 3" xfId="53" xr:uid="{DC810CDE-1002-448F-BDE6-60E1AF23763D}"/>
    <cellStyle name="Percent 2 3 2" xfId="126" xr:uid="{BDBFC2CD-6C1E-417B-A062-B0AF65D9D19E}"/>
    <cellStyle name="Percent 2 3 3" xfId="189" xr:uid="{BE2A48A0-C687-46D4-8F0E-B0A7D6EE1652}"/>
    <cellStyle name="Percent 3" xfId="31" xr:uid="{DBD241F3-AC6C-4E8D-A7E2-D85B146A2F8C}"/>
    <cellStyle name="Percent 3 2" xfId="77" xr:uid="{63D9D2F2-1630-4CB3-A5C3-099743B50AAF}"/>
    <cellStyle name="Percent 3 3" xfId="155" xr:uid="{A01FB66B-12BF-48EF-A707-10E18BB4EE92}"/>
    <cellStyle name="Percent 3 4" xfId="99" xr:uid="{691EBE17-5EED-48A8-A17D-2CD8873F405E}"/>
    <cellStyle name="Percent 3 5" xfId="181" xr:uid="{71306E9B-A2BB-4E1B-96E5-57E889991054}"/>
    <cellStyle name="Percent 35" xfId="28" xr:uid="{07CB7A5B-825D-4378-B519-64C51377C233}"/>
    <cellStyle name="Percent 35 2" xfId="129" xr:uid="{5636DF56-8AAB-4914-B7A4-C7DE2DCA8CBA}"/>
    <cellStyle name="Percent 35 3" xfId="192" xr:uid="{2E0D8824-82C9-4287-A0E3-281E1FF15344}"/>
    <cellStyle name="Percent 4" xfId="41" xr:uid="{A176D01B-C0A7-4CEF-988D-6045C08906A2}"/>
    <cellStyle name="Percent 4 2" xfId="167" xr:uid="{BE886CE4-6F0F-4800-9D44-789912E19DB8}"/>
    <cellStyle name="Percent 4 2 2" xfId="209" xr:uid="{023BA332-2426-4BA4-B218-F7BE809D0EB2}"/>
    <cellStyle name="Percent 5" xfId="50" xr:uid="{5F324DCC-817D-4C89-8C8E-F2A33BF43B11}"/>
    <cellStyle name="Percent 5 2" xfId="107" xr:uid="{733C13A1-7C78-4FBC-9AF7-41ECCF5C3070}"/>
    <cellStyle name="Percent 6" xfId="58" xr:uid="{BE44750B-F501-44D9-B670-BE406565F66B}"/>
    <cellStyle name="Percent 7" xfId="63" xr:uid="{AD6A8542-D7FB-4784-9F1C-187BF7CB068E}"/>
    <cellStyle name="Percent 8" xfId="71" xr:uid="{A5824FD7-ABA6-4DA3-BDB6-2F7CF4164E3C}"/>
    <cellStyle name="Percent 8 2" xfId="131" xr:uid="{074744FD-CB3D-4D4E-A317-E5650FFB0666}"/>
    <cellStyle name="Percent 9" xfId="78" xr:uid="{004642FB-A00A-4E39-99A7-70E2051A0870}"/>
    <cellStyle name="Percent 9 2" xfId="133" xr:uid="{46DD83B1-ACEF-4ACD-B4AB-C4CEE39BA07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83</xdr:row>
      <xdr:rowOff>28575</xdr:rowOff>
    </xdr:from>
    <xdr:to>
      <xdr:col>25</xdr:col>
      <xdr:colOff>1143000</xdr:colOff>
      <xdr:row>83</xdr:row>
      <xdr:rowOff>495300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125700" y="12363450"/>
          <a:ext cx="55245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09/30/2021 Test Period Commission Basis results of operation on a normalized basis (CBR basis). Differences exists due to inclusion of proposed cost of debt (pro forma versus CBR actual cost of debt) impacting Adjustment 2.14 above, and the inclusion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Restate 09.2021 AMA Rate base to EOP adjustment 2.15.</a:t>
          </a: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arcia\Desktop\NWN%20UG%20221\Adjustment%20Workpapers\Final%20Revenue%20Requirement%20Model%20and%20linked%20files\Working%20Copy%20of%20OM%20for%20Rate%20Case_12_09_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vistacorp.sharepoint.com/Advanced%20Metering/AMI%20Washington/Project%20Initiation/Meter%20Hardware%20Budget%20(version%205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landa's%20Main%20Saved%20file\Headcount%20Dashboards\Post%20VSIP%20Headcount%20Dashboard\Organization%20List%20Jan%20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7\2017%20ID%20Elec%20and%20Gas%20GRC\Adjustments\Adjustments\Uncollectible%20Expenses%20Transaction%20Amount%20-%20JS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data\Documents%20and%20Settings\blv\Desktop\in%20progress\2006PurL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OR%20GAS%20GRC%20UG%20325\Adjustments\2.06-2.09%202016-2018%20Capital\6.30%20Workpapers\Don't%20Send\TTP%20Models\TTP%20Model%20-%202016%20-%206.29.2016%20(Q2%20TTP%20Update)%20-%20for%20Jan-Jun%20ADF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ty/UG%20Files/UG%20288%20Avista%20Rate%20Case%202015/Workpapers/UG-___%20Smith%20WP%20(Avista)%20(May%202015)/Smith%20Native%20Format%20Workpapers/3.03%20G-SW/2)%202014%20YE%20OR%20Labor%20Detail%20-%20For%203YR%20CPI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9l\Local%20Settings\Temporary%20Internet%20Files\Content.Outlook\2VPN24R4\FTE%20and%20Earnings%202008%20Summ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3y\Local%20Settings\Temporary%20Internet%20Files\Content.Outlook\S1RG6O1H\FTE%20and%20Earnings%202008%20Detail%20v0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2012%20WA%20GRC/Adjustments/Adjustments/FIT/2011%20ADj/FIT%20Adj%20-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O&amp;M by Cost Center"/>
      <sheetName val="Quick Summary"/>
      <sheetName val="Global Parameters"/>
      <sheetName val="FTE Forecast"/>
      <sheetName val="Payroll OH Summary"/>
      <sheetName val="FERC Summary"/>
      <sheetName val="O&amp;M Payroll"/>
      <sheetName val="COH Payroll"/>
      <sheetName val="Merchandise Payroll"/>
      <sheetName val="Other Income Payroll"/>
      <sheetName val="Clearing Payroll"/>
      <sheetName val="Capital Payroll"/>
      <sheetName val="Payroll Summary"/>
      <sheetName val="O&amp;M Non Payroll"/>
      <sheetName val="COH Non Payroll"/>
      <sheetName val="Merchandise Non Payroll"/>
      <sheetName val="Other Income Non Payroll"/>
      <sheetName val="Clearing Non Payroll"/>
      <sheetName val="FERC Allocation Worksheet"/>
      <sheetName val="FERC and State Allocation"/>
      <sheetName val="State Allocation Factors"/>
      <sheetName val="Pension Treatment"/>
      <sheetName val="Rate Case Expenses"/>
      <sheetName val="Base Year by FERC"/>
      <sheetName val="2011 9 Month Actuals by FERC"/>
      <sheetName val="2011 FCST payroll by FERC"/>
      <sheetName val="2011 FCST non payroll by FERC"/>
      <sheetName val="MDR 58"/>
      <sheetName val="MDR 93"/>
      <sheetName val="MDR 96"/>
      <sheetName val="MDR 103"/>
      <sheetName val="MDR 104"/>
      <sheetName val="MDR 105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D8">
            <v>0.95099999999999996</v>
          </cell>
          <cell r="E8">
            <v>1.0738000000000001</v>
          </cell>
          <cell r="F8">
            <v>1.0660000000000001</v>
          </cell>
        </row>
        <row r="9">
          <cell r="D9">
            <v>0.8054</v>
          </cell>
          <cell r="E9">
            <v>0.79430000000000001</v>
          </cell>
          <cell r="F9">
            <v>0.78569999999999995</v>
          </cell>
        </row>
        <row r="10">
          <cell r="D10">
            <v>0.40229999999999999</v>
          </cell>
          <cell r="E10">
            <v>0.79430000000000001</v>
          </cell>
          <cell r="F10">
            <v>0.78569999999999995</v>
          </cell>
        </row>
        <row r="11">
          <cell r="D11">
            <v>0.15</v>
          </cell>
        </row>
        <row r="12">
          <cell r="D12">
            <v>0.16200000000000001</v>
          </cell>
        </row>
        <row r="13">
          <cell r="D13">
            <v>0.86956521739130432</v>
          </cell>
        </row>
        <row r="14">
          <cell r="D14">
            <v>0.15</v>
          </cell>
        </row>
        <row r="19">
          <cell r="D19">
            <v>0.02</v>
          </cell>
          <cell r="E19">
            <v>3.2500000000000001E-2</v>
          </cell>
          <cell r="F19">
            <v>3.2500000000000001E-2</v>
          </cell>
        </row>
        <row r="20">
          <cell r="D20">
            <v>1.72E-2</v>
          </cell>
          <cell r="E20">
            <v>3.2500000000000001E-2</v>
          </cell>
          <cell r="F20">
            <v>3.2500000000000001E-2</v>
          </cell>
        </row>
        <row r="26">
          <cell r="E26">
            <v>0.02</v>
          </cell>
          <cell r="F26">
            <v>2.1000000000000001E-2</v>
          </cell>
        </row>
        <row r="79">
          <cell r="H79">
            <v>1160529</v>
          </cell>
        </row>
        <row r="80">
          <cell r="H80">
            <v>406000</v>
          </cell>
        </row>
        <row r="81">
          <cell r="H81">
            <v>2922739.6181292487</v>
          </cell>
        </row>
        <row r="82">
          <cell r="H82">
            <v>738000</v>
          </cell>
        </row>
        <row r="83">
          <cell r="H83">
            <v>349760.63614601147</v>
          </cell>
        </row>
        <row r="84">
          <cell r="H84">
            <v>311494.25265989843</v>
          </cell>
        </row>
        <row r="85">
          <cell r="H85">
            <v>620467.85838108498</v>
          </cell>
        </row>
        <row r="86">
          <cell r="H86">
            <v>450000</v>
          </cell>
        </row>
        <row r="88">
          <cell r="H88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ToForm"/>
      <sheetName val="Decode"/>
      <sheetName val="Final Count &amp; Pricing"/>
      <sheetName val="Sheet1"/>
      <sheetName val="PivotByFeeder"/>
      <sheetName val="ByFeeder"/>
      <sheetName val="BySub"/>
      <sheetName val="EquipCost"/>
      <sheetName val="Sheet2"/>
      <sheetName val="Options"/>
      <sheetName val="Departmental"/>
    </sheetNames>
    <sheetDataSet>
      <sheetData sheetId="0"/>
      <sheetData sheetId="1">
        <row r="1">
          <cell r="B1" t="str">
            <v>Row Labels</v>
          </cell>
          <cell r="C1" t="str">
            <v>Count of MFG Type</v>
          </cell>
          <cell r="D1" t="str">
            <v>Form</v>
          </cell>
          <cell r="E1" t="str">
            <v>Comment</v>
          </cell>
        </row>
        <row r="2">
          <cell r="B2" t="str">
            <v>A1D10A</v>
          </cell>
          <cell r="C2">
            <v>1</v>
          </cell>
          <cell r="D2" t="str">
            <v>9S</v>
          </cell>
          <cell r="E2">
            <v>0</v>
          </cell>
        </row>
        <row r="3">
          <cell r="B3" t="str">
            <v>A1DA</v>
          </cell>
          <cell r="C3">
            <v>1</v>
          </cell>
          <cell r="D3" t="str">
            <v>9S</v>
          </cell>
          <cell r="E3">
            <v>0</v>
          </cell>
        </row>
        <row r="4">
          <cell r="B4" t="str">
            <v>C1S</v>
          </cell>
          <cell r="C4">
            <v>1</v>
          </cell>
          <cell r="D4" t="str">
            <v>2S</v>
          </cell>
          <cell r="E4">
            <v>0</v>
          </cell>
        </row>
        <row r="5">
          <cell r="B5" t="str">
            <v>C1SDR3</v>
          </cell>
          <cell r="C5">
            <v>21</v>
          </cell>
          <cell r="D5" t="str">
            <v>2S</v>
          </cell>
          <cell r="E5" t="str">
            <v>some of the I70 are 3S meters when have CT</v>
          </cell>
        </row>
        <row r="6">
          <cell r="B6" t="str">
            <v>C1SDR33S</v>
          </cell>
          <cell r="C6">
            <v>10</v>
          </cell>
          <cell r="D6" t="str">
            <v>3S</v>
          </cell>
          <cell r="E6">
            <v>0</v>
          </cell>
        </row>
        <row r="7">
          <cell r="B7" t="str">
            <v>C1SR HPP</v>
          </cell>
          <cell r="C7">
            <v>4</v>
          </cell>
          <cell r="D7" t="str">
            <v>2S</v>
          </cell>
          <cell r="E7">
            <v>0</v>
          </cell>
        </row>
        <row r="8">
          <cell r="B8" t="str">
            <v>C1SR12S Autorange</v>
          </cell>
          <cell r="C8">
            <v>1</v>
          </cell>
          <cell r="D8" t="str">
            <v>12S 3Phase</v>
          </cell>
          <cell r="E8">
            <v>0</v>
          </cell>
        </row>
        <row r="9">
          <cell r="B9" t="str">
            <v>CP1SDR316S</v>
          </cell>
          <cell r="C9">
            <v>10</v>
          </cell>
          <cell r="D9" t="str">
            <v>16S</v>
          </cell>
          <cell r="E9">
            <v>0</v>
          </cell>
        </row>
        <row r="10">
          <cell r="B10" t="str">
            <v>CP1SDR345S</v>
          </cell>
          <cell r="C10">
            <v>49</v>
          </cell>
          <cell r="D10" t="str">
            <v>45S</v>
          </cell>
          <cell r="E10">
            <v>0</v>
          </cell>
        </row>
        <row r="11">
          <cell r="B11" t="str">
            <v>CP1SDR39S</v>
          </cell>
          <cell r="C11">
            <v>53</v>
          </cell>
          <cell r="D11" t="str">
            <v>9S</v>
          </cell>
          <cell r="E11">
            <v>0</v>
          </cell>
        </row>
        <row r="12">
          <cell r="B12" t="str">
            <v>CP1SDR39SR</v>
          </cell>
          <cell r="C12">
            <v>2</v>
          </cell>
          <cell r="D12" t="str">
            <v>9S</v>
          </cell>
          <cell r="E12">
            <v>0</v>
          </cell>
        </row>
        <row r="13">
          <cell r="B13" t="str">
            <v>CP1SR16S</v>
          </cell>
          <cell r="C13">
            <v>31</v>
          </cell>
          <cell r="D13" t="str">
            <v>16S</v>
          </cell>
          <cell r="E13">
            <v>0</v>
          </cell>
        </row>
        <row r="14">
          <cell r="B14" t="str">
            <v>EVX4</v>
          </cell>
          <cell r="C14">
            <v>1</v>
          </cell>
          <cell r="D14" t="str">
            <v>2S</v>
          </cell>
          <cell r="E14">
            <v>0</v>
          </cell>
        </row>
        <row r="15">
          <cell r="B15" t="str">
            <v>I50S</v>
          </cell>
          <cell r="C15">
            <v>1</v>
          </cell>
          <cell r="D15" t="str">
            <v>2S</v>
          </cell>
          <cell r="E15">
            <v>0</v>
          </cell>
        </row>
        <row r="16">
          <cell r="B16" t="str">
            <v>I70S</v>
          </cell>
          <cell r="C16">
            <v>1</v>
          </cell>
          <cell r="D16" t="str">
            <v>2S</v>
          </cell>
          <cell r="E16">
            <v>0</v>
          </cell>
        </row>
        <row r="17">
          <cell r="B17" t="str">
            <v>IM50S</v>
          </cell>
          <cell r="C17">
            <v>4</v>
          </cell>
          <cell r="D17" t="str">
            <v>2S</v>
          </cell>
          <cell r="E17">
            <v>0</v>
          </cell>
        </row>
        <row r="18">
          <cell r="B18" t="str">
            <v>IM70S</v>
          </cell>
          <cell r="C18">
            <v>15</v>
          </cell>
          <cell r="D18" t="str">
            <v>2S</v>
          </cell>
          <cell r="E18">
            <v>0</v>
          </cell>
        </row>
        <row r="19">
          <cell r="B19" t="str">
            <v>KV10A</v>
          </cell>
          <cell r="C19">
            <v>2</v>
          </cell>
          <cell r="D19" t="str">
            <v>9S</v>
          </cell>
          <cell r="E19">
            <v>0</v>
          </cell>
        </row>
        <row r="20">
          <cell r="B20" t="str">
            <v>KV16S</v>
          </cell>
          <cell r="C20">
            <v>1</v>
          </cell>
          <cell r="D20" t="str">
            <v>16S</v>
          </cell>
          <cell r="E20">
            <v>0</v>
          </cell>
        </row>
        <row r="21">
          <cell r="B21" t="str">
            <v>KV2C10A</v>
          </cell>
          <cell r="C21">
            <v>10</v>
          </cell>
          <cell r="D21" t="str">
            <v>9S</v>
          </cell>
          <cell r="E21">
            <v>0</v>
          </cell>
        </row>
        <row r="22">
          <cell r="B22" t="str">
            <v>KV2C10AR</v>
          </cell>
          <cell r="C22">
            <v>1</v>
          </cell>
          <cell r="D22" t="str">
            <v>9S</v>
          </cell>
          <cell r="E22">
            <v>0</v>
          </cell>
        </row>
        <row r="23">
          <cell r="B23" t="str">
            <v>KV2C16S</v>
          </cell>
          <cell r="C23">
            <v>1</v>
          </cell>
          <cell r="D23" t="str">
            <v>16S</v>
          </cell>
          <cell r="E23">
            <v>0</v>
          </cell>
        </row>
        <row r="24">
          <cell r="B24" t="str">
            <v>KV2C3S</v>
          </cell>
          <cell r="C24">
            <v>3</v>
          </cell>
          <cell r="D24" t="str">
            <v>3S</v>
          </cell>
          <cell r="E24">
            <v>0</v>
          </cell>
        </row>
        <row r="25">
          <cell r="B25" t="str">
            <v>KV2C45S</v>
          </cell>
          <cell r="C25">
            <v>3</v>
          </cell>
          <cell r="D25" t="str">
            <v>45S</v>
          </cell>
          <cell r="E25">
            <v>0</v>
          </cell>
        </row>
        <row r="26">
          <cell r="B26" t="str">
            <v>KV2S</v>
          </cell>
          <cell r="C26">
            <v>2</v>
          </cell>
          <cell r="D26" t="str">
            <v>2S</v>
          </cell>
          <cell r="E26">
            <v>0</v>
          </cell>
        </row>
        <row r="27">
          <cell r="B27" t="str">
            <v>KV3S</v>
          </cell>
          <cell r="C27">
            <v>7</v>
          </cell>
          <cell r="D27" t="str">
            <v>3S</v>
          </cell>
          <cell r="E27">
            <v>0</v>
          </cell>
        </row>
        <row r="28">
          <cell r="B28" t="str">
            <v>KV45A</v>
          </cell>
          <cell r="C28">
            <v>2</v>
          </cell>
          <cell r="D28" t="str">
            <v>45S</v>
          </cell>
          <cell r="E28">
            <v>0</v>
          </cell>
        </row>
        <row r="29">
          <cell r="B29" t="str">
            <v>KV45S</v>
          </cell>
          <cell r="C29">
            <v>2</v>
          </cell>
          <cell r="D29" t="str">
            <v>45S</v>
          </cell>
          <cell r="E29">
            <v>0</v>
          </cell>
        </row>
        <row r="30">
          <cell r="B30" t="str">
            <v>Load Study</v>
          </cell>
          <cell r="C30">
            <v>2</v>
          </cell>
          <cell r="D30" t="str">
            <v>16S</v>
          </cell>
          <cell r="E30">
            <v>0</v>
          </cell>
        </row>
        <row r="31">
          <cell r="B31" t="str">
            <v>LSSS1S1L3SGP</v>
          </cell>
          <cell r="C31">
            <v>1</v>
          </cell>
          <cell r="D31" t="str">
            <v>16S</v>
          </cell>
          <cell r="E31">
            <v>0</v>
          </cell>
        </row>
        <row r="32">
          <cell r="B32" t="str">
            <v>LSSS3S1L45SGP</v>
          </cell>
          <cell r="C32">
            <v>1</v>
          </cell>
          <cell r="D32" t="str">
            <v>16S</v>
          </cell>
          <cell r="E32">
            <v>0</v>
          </cell>
        </row>
        <row r="33">
          <cell r="B33" t="str">
            <v>SS3S1D45S</v>
          </cell>
          <cell r="C33">
            <v>1</v>
          </cell>
          <cell r="D33" t="str">
            <v>45S</v>
          </cell>
          <cell r="E33">
            <v>0</v>
          </cell>
        </row>
        <row r="34">
          <cell r="B34" t="str">
            <v>SV4AD</v>
          </cell>
          <cell r="C34">
            <v>10</v>
          </cell>
          <cell r="D34" t="str">
            <v>9S</v>
          </cell>
          <cell r="E34">
            <v>0</v>
          </cell>
        </row>
        <row r="35">
          <cell r="B35" t="str">
            <v>SV4AR</v>
          </cell>
          <cell r="C35">
            <v>1</v>
          </cell>
          <cell r="D35" t="str">
            <v>9S</v>
          </cell>
          <cell r="E35">
            <v>0</v>
          </cell>
        </row>
        <row r="36">
          <cell r="B36" t="str">
            <v>V62S</v>
          </cell>
          <cell r="C36">
            <v>1</v>
          </cell>
          <cell r="D36" t="str">
            <v>12S 3Phase</v>
          </cell>
          <cell r="E36">
            <v>0</v>
          </cell>
        </row>
        <row r="37">
          <cell r="B37" t="str">
            <v>V63A</v>
          </cell>
          <cell r="C37">
            <v>2</v>
          </cell>
          <cell r="D37" t="str">
            <v>45S</v>
          </cell>
          <cell r="E37">
            <v>0</v>
          </cell>
        </row>
        <row r="38">
          <cell r="B38" t="str">
            <v>V63S</v>
          </cell>
          <cell r="C38">
            <v>3</v>
          </cell>
          <cell r="D38" t="str">
            <v>45S</v>
          </cell>
          <cell r="E38">
            <v>0</v>
          </cell>
        </row>
        <row r="39">
          <cell r="B39" t="str">
            <v>V64A</v>
          </cell>
          <cell r="C39">
            <v>1</v>
          </cell>
          <cell r="D39" t="str">
            <v>9S</v>
          </cell>
          <cell r="E39">
            <v>0</v>
          </cell>
        </row>
        <row r="40">
          <cell r="B40" t="str">
            <v>V65S</v>
          </cell>
          <cell r="C40">
            <v>4</v>
          </cell>
          <cell r="D40" t="str">
            <v>16S</v>
          </cell>
          <cell r="E40">
            <v>0</v>
          </cell>
        </row>
        <row r="41">
          <cell r="B41" t="str">
            <v>V66S</v>
          </cell>
          <cell r="C41">
            <v>27</v>
          </cell>
          <cell r="D41" t="str">
            <v>16S</v>
          </cell>
          <cell r="E41">
            <v>0</v>
          </cell>
        </row>
        <row r="42">
          <cell r="B42" t="str">
            <v>VM63A</v>
          </cell>
          <cell r="C42">
            <v>18</v>
          </cell>
          <cell r="D42" t="str">
            <v>45S</v>
          </cell>
          <cell r="E42">
            <v>0</v>
          </cell>
        </row>
        <row r="43">
          <cell r="B43" t="str">
            <v>VM63S</v>
          </cell>
          <cell r="C43">
            <v>18</v>
          </cell>
          <cell r="D43" t="str">
            <v>45S</v>
          </cell>
          <cell r="E43">
            <v>0</v>
          </cell>
        </row>
        <row r="44">
          <cell r="B44" t="str">
            <v>VM64A</v>
          </cell>
          <cell r="C44">
            <v>27</v>
          </cell>
          <cell r="D44" t="str">
            <v>9S</v>
          </cell>
          <cell r="E44">
            <v>0</v>
          </cell>
        </row>
        <row r="45">
          <cell r="B45" t="str">
            <v>VM64AI</v>
          </cell>
          <cell r="C45">
            <v>1</v>
          </cell>
          <cell r="D45" t="str">
            <v>9S</v>
          </cell>
          <cell r="E45">
            <v>0</v>
          </cell>
        </row>
        <row r="46">
          <cell r="B46" t="str">
            <v>VM65S</v>
          </cell>
          <cell r="C46">
            <v>2</v>
          </cell>
          <cell r="D46" t="str">
            <v>16S</v>
          </cell>
          <cell r="E46">
            <v>0</v>
          </cell>
        </row>
        <row r="47">
          <cell r="B47" t="str">
            <v>VM66S</v>
          </cell>
          <cell r="C47">
            <v>6</v>
          </cell>
          <cell r="D47" t="str">
            <v>16S</v>
          </cell>
          <cell r="E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Structure 01"/>
      <sheetName val="Exec &amp; Dir  Jan 2013"/>
      <sheetName val="Exec &amp; Dir  Aug 2012"/>
      <sheetName val="Inactivated Orgs"/>
      <sheetName val="Instructions"/>
      <sheetName val="Org by Officer"/>
    </sheetNames>
    <sheetDataSet>
      <sheetData sheetId="0">
        <row r="3">
          <cell r="A3" t="str">
            <v>Org</v>
          </cell>
          <cell r="B3" t="str">
            <v>Ctr - 1</v>
          </cell>
          <cell r="C3" t="str">
            <v>Name</v>
          </cell>
          <cell r="D3" t="str">
            <v>Person Resp</v>
          </cell>
          <cell r="E3" t="str">
            <v>Previous Org(s)</v>
          </cell>
          <cell r="F3" t="str">
            <v>Budget Contact</v>
          </cell>
          <cell r="G3" t="str">
            <v>Ext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 PF Major Smry"/>
      <sheetName val="WA PF Major(E)"/>
      <sheetName val="WA PF Major(G)"/>
      <sheetName val="Idaho"/>
      <sheetName val="Oregon"/>
      <sheetName val="2016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6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Other Elec Production / Turbines 340-346 ED AN</v>
          </cell>
        </row>
        <row r="35">
          <cell r="A35" t="str">
            <v>Other Elec Production / Turbines 340-346 CD WA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CD AN</v>
          </cell>
        </row>
        <row r="43">
          <cell r="A43" t="str">
            <v>Software 303 GD AA</v>
          </cell>
        </row>
        <row r="44">
          <cell r="A44" t="str">
            <v>Thermal 311-316 ED AN</v>
          </cell>
        </row>
        <row r="45">
          <cell r="A45" t="str">
            <v>Transportation and Tools 392 / 396 CD AA</v>
          </cell>
        </row>
        <row r="46">
          <cell r="A46" t="str">
            <v>Transportation and Tools 392 / 396 CD AN</v>
          </cell>
        </row>
        <row r="47">
          <cell r="A47" t="str">
            <v>Transportation and Tools 392 / 396 CD WA</v>
          </cell>
        </row>
        <row r="48">
          <cell r="A48" t="str">
            <v>Transportation and Tools 392 / 396 CD ID</v>
          </cell>
        </row>
        <row r="49">
          <cell r="A49" t="str">
            <v>Transportation and Tools 392 / 396 ED AN</v>
          </cell>
        </row>
        <row r="50">
          <cell r="A50" t="str">
            <v>Transportation and Tools 392 / 396 ED WA</v>
          </cell>
        </row>
        <row r="51">
          <cell r="A51" t="str">
            <v>Transportation and Tools 392 / 396 ED ID</v>
          </cell>
        </row>
        <row r="52">
          <cell r="A52" t="str">
            <v>Transportation and Tools 392 / 396 GD AN</v>
          </cell>
        </row>
        <row r="53">
          <cell r="A53" t="str">
            <v>Transportation and Tools 392 / 396 GD ID</v>
          </cell>
        </row>
        <row r="54">
          <cell r="A54" t="str">
            <v>Transportation and Tools 392 / 396 GD WA</v>
          </cell>
        </row>
        <row r="55">
          <cell r="A55" t="str">
            <v>Transportation and Tools 392 / 396 GD OR</v>
          </cell>
        </row>
        <row r="56">
          <cell r="A56" t="str">
            <v>Gas Distribution 374-387 GD AA 1001</v>
          </cell>
        </row>
        <row r="57">
          <cell r="A57" t="str">
            <v>Gas Distribution 374-387 GD AA 1050</v>
          </cell>
        </row>
        <row r="58">
          <cell r="A58" t="str">
            <v>Gas Distribution 374-387 GD AA 1051</v>
          </cell>
        </row>
        <row r="59">
          <cell r="A59" t="str">
            <v>Gas Distribution 374-387 GD AA 1053</v>
          </cell>
        </row>
        <row r="60">
          <cell r="A60" t="str">
            <v>Gas Distribution 374-387 GD AA 3000</v>
          </cell>
        </row>
        <row r="61">
          <cell r="A61" t="str">
            <v>Gas Distribution 374-387 GD AA 3001</v>
          </cell>
        </row>
        <row r="62">
          <cell r="A62" t="str">
            <v>Gas Distribution 374-387 GD AA 3002</v>
          </cell>
        </row>
        <row r="63">
          <cell r="A63" t="str">
            <v>Gas Distribution 374-387 GD AA 3003</v>
          </cell>
        </row>
        <row r="64">
          <cell r="A64" t="str">
            <v>Gas Distribution 374-387 GD AA 3004</v>
          </cell>
        </row>
        <row r="65">
          <cell r="A65" t="str">
            <v>Gas Distribution 374-387 GD AA 3005</v>
          </cell>
        </row>
        <row r="66">
          <cell r="A66" t="str">
            <v>Gas Distribution 374-387 GD AA 3006</v>
          </cell>
        </row>
        <row r="67">
          <cell r="A67" t="str">
            <v>Gas Distribution 374-387 GD AA 3007</v>
          </cell>
        </row>
        <row r="68">
          <cell r="A68" t="str">
            <v>Gas Distribution 374-387 GD AA 3008</v>
          </cell>
        </row>
        <row r="69">
          <cell r="A69" t="str">
            <v>Gas Distribution 374-387 GD AA 3054</v>
          </cell>
        </row>
        <row r="70">
          <cell r="A70" t="str">
            <v>Gas Distribution 374-387 GD AA 3055</v>
          </cell>
        </row>
        <row r="71">
          <cell r="A71" t="str">
            <v>Gas Distribution 374-387 GD AA 3057</v>
          </cell>
        </row>
        <row r="72">
          <cell r="A72" t="str">
            <v>Gas Distribution 374-387 GD AA 3117</v>
          </cell>
        </row>
        <row r="73">
          <cell r="A73" t="str">
            <v>Gas Distribution 374-387 ED ID</v>
          </cell>
        </row>
        <row r="74">
          <cell r="A74" t="str">
            <v>Elec Distribution 360-373 ED AN 1000</v>
          </cell>
        </row>
        <row r="75">
          <cell r="A75" t="str">
            <v>Elec Distribution 360-373 ED AN 1002</v>
          </cell>
        </row>
        <row r="76">
          <cell r="A76" t="str">
            <v>Elec Distribution 360-373 ED AN 1003</v>
          </cell>
        </row>
        <row r="77">
          <cell r="A77" t="str">
            <v>Elec Distribution 360-373 ED AN 1004</v>
          </cell>
        </row>
        <row r="78">
          <cell r="A78" t="str">
            <v>Elec Distribution 360-373 ED AN 1005</v>
          </cell>
        </row>
        <row r="79">
          <cell r="A79" t="str">
            <v>Elec Distribution 360-373 ED AN 1006</v>
          </cell>
        </row>
        <row r="80">
          <cell r="A80" t="str">
            <v>Elec Distribution 360-373 ED AN 2054</v>
          </cell>
        </row>
        <row r="81">
          <cell r="A81" t="str">
            <v>Elec Distribution 360-373 ED AN 2055</v>
          </cell>
        </row>
        <row r="82">
          <cell r="A82" t="str">
            <v>Elec Distribution 360-373 ED AN 2056</v>
          </cell>
        </row>
        <row r="83">
          <cell r="A83" t="str">
            <v>Elec Distribution 360-373 ED AN 2059</v>
          </cell>
        </row>
        <row r="84">
          <cell r="A84" t="str">
            <v>Elec Distribution 360-373 ED AN 2060</v>
          </cell>
        </row>
        <row r="85">
          <cell r="A85" t="str">
            <v>Elec Distribution 360-373 ED AN 2204</v>
          </cell>
        </row>
        <row r="86">
          <cell r="A86" t="str">
            <v>Elec Distribution 360-373 ED AN 2414</v>
          </cell>
        </row>
        <row r="87">
          <cell r="A87" t="str">
            <v>Elec Distribution 360-373 ED AN 2423</v>
          </cell>
        </row>
        <row r="88">
          <cell r="A88" t="str">
            <v>Elec Distribution 360-373 ED AN 2470</v>
          </cell>
        </row>
        <row r="89">
          <cell r="A89" t="str">
            <v>Elec Distribution 360-373 ED AN 2516</v>
          </cell>
        </row>
        <row r="90">
          <cell r="A90" t="str">
            <v>Elec Distribution 360-373 ED AN 2535</v>
          </cell>
        </row>
        <row r="91">
          <cell r="A91" t="str">
            <v>Elec Distribution 360-373 ED AN 2584</v>
          </cell>
        </row>
        <row r="92">
          <cell r="A92" t="str">
            <v>Elec Distribution 360-373 ED AN 2599</v>
          </cell>
        </row>
        <row r="93">
          <cell r="A93" t="str">
            <v>Elec Distribution 360-373 ED AN 6000</v>
          </cell>
        </row>
        <row r="94">
          <cell r="A94" t="str">
            <v>Elec Distribution 360-373 CD WA 2586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ate Summary"/>
      <sheetName val="Macro1"/>
    </sheetNames>
    <sheetDataSet>
      <sheetData sheetId="0"/>
      <sheetData sheetId="1">
        <row r="43">
          <cell r="A43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00">
          <cell r="B100" t="str">
            <v>ACC</v>
          </cell>
          <cell r="C100" t="str">
            <v>One-Time Accrual</v>
          </cell>
          <cell r="D100" t="str">
            <v>WVD</v>
          </cell>
          <cell r="E100">
            <v>99</v>
          </cell>
        </row>
        <row r="101">
          <cell r="B101" t="str">
            <v>ACF</v>
          </cell>
          <cell r="C101" t="str">
            <v>1time Accrual - Family Lv</v>
          </cell>
          <cell r="D101" t="str">
            <v>WVD</v>
          </cell>
          <cell r="E101">
            <v>99</v>
          </cell>
        </row>
        <row r="102">
          <cell r="B102" t="str">
            <v>ACP</v>
          </cell>
          <cell r="C102" t="str">
            <v>One Time Accrual Paid Cash</v>
          </cell>
          <cell r="D102" t="str">
            <v>WVD</v>
          </cell>
          <cell r="E102">
            <v>99</v>
          </cell>
        </row>
        <row r="103">
          <cell r="B103" t="str">
            <v>BI1</v>
          </cell>
          <cell r="C103" t="str">
            <v>Bilingual Premium OT</v>
          </cell>
          <cell r="D103" t="str">
            <v>WOD</v>
          </cell>
          <cell r="E103">
            <v>99</v>
          </cell>
        </row>
        <row r="104">
          <cell r="B104" t="str">
            <v>BI2</v>
          </cell>
          <cell r="C104" t="str">
            <v>Bilingual Premium DT</v>
          </cell>
          <cell r="D104" t="str">
            <v>WOD</v>
          </cell>
          <cell r="E104">
            <v>99</v>
          </cell>
        </row>
        <row r="105">
          <cell r="B105" t="str">
            <v>BIL</v>
          </cell>
          <cell r="C105" t="str">
            <v>Bilingual Premium</v>
          </cell>
          <cell r="D105" t="str">
            <v>WRD</v>
          </cell>
          <cell r="E105">
            <v>99</v>
          </cell>
        </row>
        <row r="106">
          <cell r="B106" t="str">
            <v>CLO</v>
          </cell>
          <cell r="C106" t="str">
            <v>Call Out - Double Time</v>
          </cell>
          <cell r="D106" t="str">
            <v>WOD</v>
          </cell>
          <cell r="E106">
            <v>99</v>
          </cell>
        </row>
        <row r="107">
          <cell r="B107" t="str">
            <v>CLS</v>
          </cell>
          <cell r="C107" t="str">
            <v>Call Out - Straight Time</v>
          </cell>
          <cell r="D107" t="str">
            <v>WRD</v>
          </cell>
          <cell r="E107">
            <v>99</v>
          </cell>
        </row>
        <row r="108">
          <cell r="B108" t="str">
            <v>CSO</v>
          </cell>
          <cell r="C108" t="str">
            <v>Call Out - Sat/Sun - Dt</v>
          </cell>
          <cell r="D108" t="str">
            <v>WOD</v>
          </cell>
          <cell r="E108">
            <v>99</v>
          </cell>
        </row>
        <row r="109">
          <cell r="B109" t="str">
            <v>CSS</v>
          </cell>
          <cell r="C109" t="str">
            <v>Call Out -Sat/Sun-Strght</v>
          </cell>
          <cell r="D109" t="str">
            <v>WRD</v>
          </cell>
          <cell r="E109">
            <v>99</v>
          </cell>
        </row>
        <row r="110">
          <cell r="B110" t="str">
            <v>CVT</v>
          </cell>
          <cell r="C110" t="str">
            <v>Community Volunteer Time</v>
          </cell>
          <cell r="D110" t="str">
            <v>WRD</v>
          </cell>
          <cell r="E110">
            <v>99</v>
          </cell>
        </row>
        <row r="111">
          <cell r="B111" t="str">
            <v>DBT</v>
          </cell>
          <cell r="C111" t="str">
            <v>Overtime At Double</v>
          </cell>
          <cell r="D111" t="str">
            <v>WOD</v>
          </cell>
          <cell r="E111">
            <v>99</v>
          </cell>
        </row>
        <row r="112">
          <cell r="B112" t="str">
            <v>DC1</v>
          </cell>
          <cell r="C112" t="str">
            <v>Doubletime W-O W-Comp - 1</v>
          </cell>
          <cell r="D112" t="str">
            <v>WOD</v>
          </cell>
          <cell r="E112">
            <v>99</v>
          </cell>
        </row>
        <row r="113">
          <cell r="B113" t="str">
            <v>DC2</v>
          </cell>
          <cell r="C113" t="str">
            <v>Doubletime W-O W-Comp - 2</v>
          </cell>
          <cell r="D113" t="str">
            <v>WOD</v>
          </cell>
          <cell r="E113">
            <v>99</v>
          </cell>
        </row>
        <row r="114">
          <cell r="B114" t="str">
            <v>DC3</v>
          </cell>
          <cell r="C114" t="str">
            <v>Doubletime W-O W-Comp - 3</v>
          </cell>
          <cell r="D114" t="str">
            <v>WOD</v>
          </cell>
          <cell r="E114">
            <v>99</v>
          </cell>
        </row>
        <row r="115">
          <cell r="B115" t="str">
            <v>DC4</v>
          </cell>
          <cell r="C115" t="str">
            <v>Doubletime W-O W-Comp - 4</v>
          </cell>
          <cell r="D115" t="str">
            <v>WOD</v>
          </cell>
          <cell r="E115">
            <v>99</v>
          </cell>
        </row>
        <row r="116">
          <cell r="B116" t="str">
            <v>DC5</v>
          </cell>
          <cell r="C116" t="str">
            <v>Doubletime W-O W-Comp - 5</v>
          </cell>
          <cell r="D116" t="str">
            <v>WOD</v>
          </cell>
          <cell r="E116">
            <v>99</v>
          </cell>
        </row>
        <row r="117">
          <cell r="B117" t="str">
            <v>DIS</v>
          </cell>
          <cell r="C117" t="str">
            <v>Sick Pay</v>
          </cell>
          <cell r="D117" t="str">
            <v>WVD</v>
          </cell>
          <cell r="E117">
            <v>99</v>
          </cell>
        </row>
        <row r="118">
          <cell r="B118" t="str">
            <v>DOT</v>
          </cell>
          <cell r="C118" t="str">
            <v>Donation of Leave Time</v>
          </cell>
          <cell r="D118" t="str">
            <v>WVD</v>
          </cell>
          <cell r="E118">
            <v>99</v>
          </cell>
        </row>
        <row r="119">
          <cell r="B119" t="str">
            <v>DP1</v>
          </cell>
          <cell r="C119" t="str">
            <v>Day 7 Retire Base @ 2 -1</v>
          </cell>
          <cell r="D119" t="str">
            <v>WOD</v>
          </cell>
          <cell r="E119">
            <v>99</v>
          </cell>
        </row>
        <row r="120">
          <cell r="B120" t="str">
            <v>DP2</v>
          </cell>
          <cell r="C120" t="str">
            <v>Day 7 Retire Base @ 2 -2</v>
          </cell>
          <cell r="D120" t="str">
            <v>WOD</v>
          </cell>
          <cell r="E120">
            <v>99</v>
          </cell>
        </row>
        <row r="121">
          <cell r="B121" t="str">
            <v>DP3</v>
          </cell>
          <cell r="C121" t="str">
            <v>Day 7 Retire Base @ 2 -3</v>
          </cell>
          <cell r="D121" t="str">
            <v>WOD</v>
          </cell>
          <cell r="E121">
            <v>99</v>
          </cell>
        </row>
        <row r="122">
          <cell r="B122" t="str">
            <v>DP4</v>
          </cell>
          <cell r="C122" t="str">
            <v>Day 7 Retire Base @ 2 -4</v>
          </cell>
          <cell r="D122" t="str">
            <v>WOD</v>
          </cell>
          <cell r="E122">
            <v>99</v>
          </cell>
        </row>
        <row r="123">
          <cell r="B123" t="str">
            <v>DP5</v>
          </cell>
          <cell r="C123" t="str">
            <v>Day 7 Retire Base @ 2 -5</v>
          </cell>
          <cell r="D123" t="str">
            <v>WOD</v>
          </cell>
          <cell r="E123">
            <v>99</v>
          </cell>
        </row>
        <row r="124">
          <cell r="B124" t="str">
            <v>DP6</v>
          </cell>
          <cell r="C124" t="str">
            <v>Day 7 Retire Base @ 2 -6</v>
          </cell>
          <cell r="D124" t="str">
            <v>WOD</v>
          </cell>
          <cell r="E124">
            <v>99</v>
          </cell>
        </row>
        <row r="125">
          <cell r="B125" t="str">
            <v>DP7</v>
          </cell>
          <cell r="C125" t="str">
            <v>Day 7 Retire Base @ 2 -7</v>
          </cell>
          <cell r="D125" t="str">
            <v>WOD</v>
          </cell>
          <cell r="E125">
            <v>99</v>
          </cell>
        </row>
        <row r="126">
          <cell r="B126" t="str">
            <v>DP8</v>
          </cell>
          <cell r="C126" t="str">
            <v>Day 7 Retire Base @ 2 -8</v>
          </cell>
          <cell r="D126" t="str">
            <v>WOD</v>
          </cell>
          <cell r="E126">
            <v>99</v>
          </cell>
        </row>
        <row r="127">
          <cell r="B127" t="str">
            <v>DT1</v>
          </cell>
          <cell r="C127" t="str">
            <v>Overtime At Double</v>
          </cell>
          <cell r="D127" t="str">
            <v>WOD</v>
          </cell>
          <cell r="E127">
            <v>99</v>
          </cell>
        </row>
        <row r="128">
          <cell r="B128" t="str">
            <v>DT2</v>
          </cell>
          <cell r="C128" t="str">
            <v>Overtime At Double - 2</v>
          </cell>
          <cell r="D128" t="str">
            <v>WOD</v>
          </cell>
          <cell r="E128">
            <v>99</v>
          </cell>
        </row>
        <row r="129">
          <cell r="B129" t="str">
            <v>DT3</v>
          </cell>
          <cell r="C129" t="str">
            <v>Overtime At Double - 3</v>
          </cell>
          <cell r="D129" t="str">
            <v>WOD</v>
          </cell>
          <cell r="E129">
            <v>99</v>
          </cell>
        </row>
        <row r="130">
          <cell r="B130" t="str">
            <v>DT4</v>
          </cell>
          <cell r="C130" t="str">
            <v>Overtime At Double - 4</v>
          </cell>
          <cell r="D130" t="str">
            <v>WOD</v>
          </cell>
          <cell r="E130">
            <v>99</v>
          </cell>
        </row>
        <row r="131">
          <cell r="B131" t="str">
            <v>DT5</v>
          </cell>
          <cell r="C131" t="str">
            <v>Overtime At Double - 5</v>
          </cell>
          <cell r="D131" t="str">
            <v>WOD</v>
          </cell>
          <cell r="E131">
            <v>99</v>
          </cell>
        </row>
        <row r="132">
          <cell r="B132" t="str">
            <v>DT6</v>
          </cell>
          <cell r="C132" t="str">
            <v>Overtime At Double - 6</v>
          </cell>
          <cell r="D132" t="str">
            <v>WOD</v>
          </cell>
          <cell r="E132">
            <v>99</v>
          </cell>
        </row>
        <row r="133">
          <cell r="B133" t="str">
            <v>DT7</v>
          </cell>
          <cell r="C133" t="str">
            <v>Overtime At Double - 7</v>
          </cell>
          <cell r="D133" t="str">
            <v>WOD</v>
          </cell>
          <cell r="E133">
            <v>99</v>
          </cell>
        </row>
        <row r="134">
          <cell r="B134" t="str">
            <v>DT8</v>
          </cell>
          <cell r="C134" t="str">
            <v>Overtime At Double - 8</v>
          </cell>
          <cell r="D134" t="str">
            <v>WOD</v>
          </cell>
          <cell r="E134">
            <v>99</v>
          </cell>
        </row>
        <row r="135">
          <cell r="B135" t="str">
            <v>DTP</v>
          </cell>
          <cell r="C135" t="str">
            <v>Doubletime</v>
          </cell>
          <cell r="D135" t="str">
            <v>WOD</v>
          </cell>
          <cell r="E135">
            <v>99</v>
          </cell>
        </row>
        <row r="136">
          <cell r="B136" t="str">
            <v>FLH</v>
          </cell>
          <cell r="C136" t="str">
            <v>Floating Holiday</v>
          </cell>
          <cell r="D136" t="str">
            <v>WVD</v>
          </cell>
          <cell r="E136">
            <v>99</v>
          </cell>
        </row>
        <row r="137">
          <cell r="B137" t="str">
            <v>FNL</v>
          </cell>
          <cell r="C137" t="str">
            <v>Funeral Leave</v>
          </cell>
          <cell r="D137" t="str">
            <v>WVD</v>
          </cell>
          <cell r="E137">
            <v>99</v>
          </cell>
        </row>
        <row r="138">
          <cell r="B138" t="str">
            <v>GIL</v>
          </cell>
          <cell r="C138" t="str">
            <v>Gill Ranch Storage</v>
          </cell>
          <cell r="D138" t="str">
            <v>WRD</v>
          </cell>
          <cell r="E138">
            <v>99</v>
          </cell>
        </row>
        <row r="139">
          <cell r="B139" t="str">
            <v>HLA</v>
          </cell>
          <cell r="C139" t="str">
            <v>Holiday Allowance</v>
          </cell>
          <cell r="D139" t="str">
            <v>WVD</v>
          </cell>
          <cell r="E139">
            <v>99</v>
          </cell>
        </row>
        <row r="140">
          <cell r="B140" t="str">
            <v>HM1</v>
          </cell>
          <cell r="C140" t="str">
            <v>Hazard Materials Overtime</v>
          </cell>
          <cell r="D140" t="str">
            <v>WOD</v>
          </cell>
          <cell r="E140">
            <v>99</v>
          </cell>
        </row>
        <row r="141">
          <cell r="B141" t="str">
            <v>HM2</v>
          </cell>
          <cell r="C141" t="str">
            <v>Hazard Materials Doubletime</v>
          </cell>
          <cell r="D141" t="str">
            <v>WOD</v>
          </cell>
          <cell r="E141">
            <v>99</v>
          </cell>
        </row>
        <row r="142">
          <cell r="B142" t="str">
            <v>HM8</v>
          </cell>
          <cell r="C142" t="str">
            <v>6th Day Hzd Mat @ 1.5</v>
          </cell>
          <cell r="D142" t="str">
            <v>WOD</v>
          </cell>
          <cell r="E142">
            <v>99</v>
          </cell>
        </row>
        <row r="143">
          <cell r="B143" t="str">
            <v>HM9</v>
          </cell>
          <cell r="C143" t="str">
            <v>7th Day Hzd Mat @2</v>
          </cell>
          <cell r="D143" t="str">
            <v>WOD</v>
          </cell>
          <cell r="E143">
            <v>99</v>
          </cell>
        </row>
        <row r="144">
          <cell r="B144" t="str">
            <v>HOL</v>
          </cell>
          <cell r="C144" t="str">
            <v>Holiday Pay</v>
          </cell>
          <cell r="D144" t="str">
            <v>WVD</v>
          </cell>
          <cell r="E144">
            <v>99</v>
          </cell>
        </row>
        <row r="145">
          <cell r="B145" t="str">
            <v>HPD</v>
          </cell>
          <cell r="C145" t="str">
            <v>High Pay Doubletime</v>
          </cell>
          <cell r="D145" t="str">
            <v>WOD</v>
          </cell>
          <cell r="E145">
            <v>99</v>
          </cell>
        </row>
        <row r="146">
          <cell r="B146" t="str">
            <v>HPO</v>
          </cell>
          <cell r="C146" t="str">
            <v>High Pay Overtime</v>
          </cell>
          <cell r="D146" t="str">
            <v>WOD</v>
          </cell>
          <cell r="E146">
            <v>99</v>
          </cell>
        </row>
        <row r="147">
          <cell r="B147" t="str">
            <v>HPY</v>
          </cell>
          <cell r="C147" t="str">
            <v>High Pay Work</v>
          </cell>
          <cell r="D147" t="str">
            <v>WRD</v>
          </cell>
          <cell r="E147">
            <v>99</v>
          </cell>
        </row>
        <row r="148">
          <cell r="B148" t="str">
            <v>HZ2</v>
          </cell>
          <cell r="C148" t="str">
            <v>Haz Pay Doubletime</v>
          </cell>
          <cell r="D148" t="str">
            <v>WOD</v>
          </cell>
          <cell r="E148">
            <v>99</v>
          </cell>
        </row>
        <row r="149">
          <cell r="B149" t="str">
            <v>HZ8</v>
          </cell>
          <cell r="C149" t="str">
            <v>6th Day Hazard @1.5</v>
          </cell>
          <cell r="D149" t="str">
            <v>WOD</v>
          </cell>
          <cell r="E149">
            <v>99</v>
          </cell>
        </row>
        <row r="150">
          <cell r="B150" t="str">
            <v>HZ9</v>
          </cell>
          <cell r="C150" t="str">
            <v>7th Day Hazard @2</v>
          </cell>
          <cell r="D150" t="str">
            <v>WOD</v>
          </cell>
          <cell r="E150">
            <v>99</v>
          </cell>
        </row>
        <row r="151">
          <cell r="B151" t="str">
            <v>HZD</v>
          </cell>
          <cell r="C151" t="str">
            <v>Hazardous Coord - Strght</v>
          </cell>
          <cell r="D151" t="str">
            <v>WRD</v>
          </cell>
          <cell r="E151">
            <v>99</v>
          </cell>
        </row>
        <row r="152">
          <cell r="B152" t="str">
            <v>HZM</v>
          </cell>
          <cell r="C152" t="str">
            <v>Hazard Materials Differential</v>
          </cell>
          <cell r="D152" t="str">
            <v>WRD</v>
          </cell>
          <cell r="E152">
            <v>99</v>
          </cell>
        </row>
        <row r="153">
          <cell r="B153" t="str">
            <v>HZO</v>
          </cell>
          <cell r="C153" t="str">
            <v>Hazard Coord Overtime</v>
          </cell>
          <cell r="D153" t="str">
            <v>WOD</v>
          </cell>
          <cell r="E153">
            <v>99</v>
          </cell>
        </row>
        <row r="154">
          <cell r="B154" t="str">
            <v>IDD</v>
          </cell>
          <cell r="C154" t="str">
            <v>Ind Dis Differential</v>
          </cell>
          <cell r="D154" t="str">
            <v>WVD</v>
          </cell>
          <cell r="E154">
            <v>99</v>
          </cell>
        </row>
        <row r="155">
          <cell r="B155" t="str">
            <v>IDS</v>
          </cell>
          <cell r="C155" t="str">
            <v>Industrial Disability</v>
          </cell>
          <cell r="D155" t="str">
            <v>WVD</v>
          </cell>
          <cell r="E155">
            <v>99</v>
          </cell>
        </row>
        <row r="156">
          <cell r="B156" t="str">
            <v>JRD</v>
          </cell>
          <cell r="C156" t="str">
            <v>Jury Duty Differential</v>
          </cell>
          <cell r="D156" t="str">
            <v>WVD</v>
          </cell>
          <cell r="E156">
            <v>99</v>
          </cell>
        </row>
        <row r="157">
          <cell r="B157" t="str">
            <v>JUR</v>
          </cell>
          <cell r="C157" t="str">
            <v>Jury Duty</v>
          </cell>
          <cell r="D157" t="str">
            <v>WVD</v>
          </cell>
          <cell r="E157">
            <v>99</v>
          </cell>
        </row>
        <row r="158">
          <cell r="B158" t="str">
            <v>LDO</v>
          </cell>
          <cell r="C158" t="str">
            <v>Light Duty Diff - Overtime</v>
          </cell>
          <cell r="D158" t="str">
            <v>WOD</v>
          </cell>
          <cell r="E158">
            <v>99</v>
          </cell>
        </row>
        <row r="159">
          <cell r="B159" t="str">
            <v>LDR</v>
          </cell>
          <cell r="C159" t="str">
            <v>Light Duty Diff - Regular</v>
          </cell>
          <cell r="D159" t="str">
            <v>WRD</v>
          </cell>
          <cell r="E159">
            <v>99</v>
          </cell>
        </row>
        <row r="160">
          <cell r="B160" t="str">
            <v>LPD</v>
          </cell>
          <cell r="C160" t="str">
            <v>Lead Pay Doubletime</v>
          </cell>
          <cell r="D160" t="str">
            <v>WOD</v>
          </cell>
          <cell r="E160">
            <v>99</v>
          </cell>
        </row>
        <row r="161">
          <cell r="B161" t="str">
            <v>LPO</v>
          </cell>
          <cell r="C161" t="str">
            <v>Lead Pay Overtime</v>
          </cell>
          <cell r="D161" t="str">
            <v>WOD</v>
          </cell>
          <cell r="E161">
            <v>99</v>
          </cell>
        </row>
        <row r="162">
          <cell r="B162" t="str">
            <v>LPR</v>
          </cell>
          <cell r="C162" t="str">
            <v>Lead Pay</v>
          </cell>
          <cell r="D162" t="str">
            <v>WRD</v>
          </cell>
          <cell r="E162">
            <v>99</v>
          </cell>
        </row>
        <row r="163">
          <cell r="B163" t="str">
            <v>MLV</v>
          </cell>
          <cell r="C163" t="str">
            <v>Military Leave Differentl</v>
          </cell>
          <cell r="D163" t="str">
            <v>WVD</v>
          </cell>
          <cell r="E163">
            <v>99</v>
          </cell>
        </row>
        <row r="164">
          <cell r="B164" t="str">
            <v>OC1</v>
          </cell>
          <cell r="C164" t="str">
            <v>Overtime W-O W-Comp - 1</v>
          </cell>
          <cell r="D164" t="str">
            <v>WOD</v>
          </cell>
          <cell r="E164">
            <v>99</v>
          </cell>
        </row>
        <row r="165">
          <cell r="B165" t="str">
            <v>OC2</v>
          </cell>
          <cell r="C165" t="str">
            <v>Overtime W-O W-Comp - 2</v>
          </cell>
          <cell r="D165" t="str">
            <v>WOD</v>
          </cell>
          <cell r="E165">
            <v>99</v>
          </cell>
        </row>
        <row r="166">
          <cell r="B166" t="str">
            <v>OC3</v>
          </cell>
          <cell r="C166" t="str">
            <v>Overtime W-O W-Comp - 3</v>
          </cell>
          <cell r="D166" t="str">
            <v>WOD</v>
          </cell>
          <cell r="E166">
            <v>99</v>
          </cell>
        </row>
        <row r="167">
          <cell r="B167" t="str">
            <v>OC4</v>
          </cell>
          <cell r="C167" t="str">
            <v>Overtime W-O W-Comp - 4</v>
          </cell>
          <cell r="D167" t="str">
            <v>WOD</v>
          </cell>
          <cell r="E167">
            <v>99</v>
          </cell>
        </row>
        <row r="168">
          <cell r="B168" t="str">
            <v>OC5</v>
          </cell>
          <cell r="C168" t="str">
            <v>Overtime W-O W-Comp - 5</v>
          </cell>
          <cell r="D168" t="str">
            <v>WOD</v>
          </cell>
          <cell r="E168">
            <v>99</v>
          </cell>
        </row>
        <row r="169">
          <cell r="B169" t="str">
            <v>OP1</v>
          </cell>
          <cell r="C169" t="str">
            <v>Day 6 Retire Base @1.5 -1</v>
          </cell>
          <cell r="D169" t="str">
            <v>WOD</v>
          </cell>
          <cell r="E169">
            <v>99</v>
          </cell>
        </row>
        <row r="170">
          <cell r="B170" t="str">
            <v>OP2</v>
          </cell>
          <cell r="C170" t="str">
            <v>Day 6 Retire Base @1.5 -2</v>
          </cell>
          <cell r="D170" t="str">
            <v>WOD</v>
          </cell>
          <cell r="E170">
            <v>99</v>
          </cell>
        </row>
        <row r="171">
          <cell r="B171" t="str">
            <v>OP3</v>
          </cell>
          <cell r="C171" t="str">
            <v>Day 6 Retire Base @1.5 -3</v>
          </cell>
          <cell r="D171" t="str">
            <v>WOD</v>
          </cell>
          <cell r="E171">
            <v>99</v>
          </cell>
        </row>
        <row r="172">
          <cell r="B172" t="str">
            <v>OP4</v>
          </cell>
          <cell r="C172" t="str">
            <v>Day 6 Retire Base @1.5 -4</v>
          </cell>
          <cell r="D172" t="str">
            <v>WOD</v>
          </cell>
          <cell r="E172">
            <v>99</v>
          </cell>
        </row>
        <row r="173">
          <cell r="B173" t="str">
            <v>OP5</v>
          </cell>
          <cell r="C173" t="str">
            <v>Day 6 Retire Base @1.5 -5</v>
          </cell>
          <cell r="D173" t="str">
            <v>WOD</v>
          </cell>
          <cell r="E173">
            <v>99</v>
          </cell>
        </row>
        <row r="174">
          <cell r="B174" t="str">
            <v>OP6</v>
          </cell>
          <cell r="C174" t="str">
            <v>Day 6 Retire Base @1.5 -6</v>
          </cell>
          <cell r="D174" t="str">
            <v>WOD</v>
          </cell>
          <cell r="E174">
            <v>99</v>
          </cell>
        </row>
        <row r="175">
          <cell r="B175" t="str">
            <v>OP7</v>
          </cell>
          <cell r="C175" t="str">
            <v>Day 6 Retire Base @1.5 -7</v>
          </cell>
          <cell r="D175" t="str">
            <v>WOD</v>
          </cell>
          <cell r="E175">
            <v>99</v>
          </cell>
        </row>
        <row r="176">
          <cell r="B176" t="str">
            <v>OP8</v>
          </cell>
          <cell r="C176" t="str">
            <v>Day 6 Retire Base @1.5 -8</v>
          </cell>
          <cell r="D176" t="str">
            <v>WOD</v>
          </cell>
          <cell r="E176">
            <v>99</v>
          </cell>
        </row>
        <row r="177">
          <cell r="B177" t="str">
            <v>OT2</v>
          </cell>
          <cell r="C177" t="str">
            <v>Overtime At Double</v>
          </cell>
          <cell r="D177" t="str">
            <v>WOD</v>
          </cell>
          <cell r="E177">
            <v>99</v>
          </cell>
        </row>
        <row r="178">
          <cell r="B178" t="str">
            <v>OTC</v>
          </cell>
          <cell r="C178" t="str">
            <v>Overtime half pay commission</v>
          </cell>
          <cell r="D178" t="str">
            <v>WOD</v>
          </cell>
          <cell r="E178">
            <v>99</v>
          </cell>
        </row>
        <row r="179">
          <cell r="B179" t="str">
            <v>OTP</v>
          </cell>
          <cell r="C179" t="str">
            <v>Overtime At 1.5</v>
          </cell>
          <cell r="D179" t="str">
            <v>WOD</v>
          </cell>
          <cell r="E179">
            <v>99</v>
          </cell>
        </row>
        <row r="180">
          <cell r="B180" t="str">
            <v>OV1</v>
          </cell>
          <cell r="C180" t="str">
            <v>Overtime At 1.5</v>
          </cell>
          <cell r="D180" t="str">
            <v>WOD</v>
          </cell>
          <cell r="E180">
            <v>99</v>
          </cell>
        </row>
        <row r="181">
          <cell r="B181" t="str">
            <v>OV2</v>
          </cell>
          <cell r="C181" t="str">
            <v>Overtime At 1.5 - 2</v>
          </cell>
          <cell r="D181" t="str">
            <v>WOD</v>
          </cell>
          <cell r="E181">
            <v>99</v>
          </cell>
        </row>
        <row r="182">
          <cell r="B182" t="str">
            <v>OV3</v>
          </cell>
          <cell r="C182" t="str">
            <v>Overtime At 1.5 - 3</v>
          </cell>
          <cell r="D182" t="str">
            <v>WOD</v>
          </cell>
          <cell r="E182">
            <v>99</v>
          </cell>
        </row>
        <row r="183">
          <cell r="B183" t="str">
            <v>OV4</v>
          </cell>
          <cell r="C183" t="str">
            <v>Overtime At 1.5 - 4</v>
          </cell>
          <cell r="D183" t="str">
            <v>WOD</v>
          </cell>
          <cell r="E183">
            <v>99</v>
          </cell>
        </row>
        <row r="184">
          <cell r="B184" t="str">
            <v>OV5</v>
          </cell>
          <cell r="C184" t="str">
            <v>Overtime At 1.5 - 5</v>
          </cell>
          <cell r="D184" t="str">
            <v>WOD</v>
          </cell>
          <cell r="E184">
            <v>99</v>
          </cell>
        </row>
        <row r="185">
          <cell r="B185" t="str">
            <v>OV6</v>
          </cell>
          <cell r="C185" t="str">
            <v>Overtime At 1.5 - 6</v>
          </cell>
          <cell r="D185" t="str">
            <v>WOD</v>
          </cell>
          <cell r="E185">
            <v>99</v>
          </cell>
        </row>
        <row r="186">
          <cell r="B186" t="str">
            <v>OV7</v>
          </cell>
          <cell r="C186" t="str">
            <v>Overtime At 1.5 - 7</v>
          </cell>
          <cell r="D186" t="str">
            <v>WOD</v>
          </cell>
          <cell r="E186">
            <v>99</v>
          </cell>
        </row>
        <row r="187">
          <cell r="B187" t="str">
            <v>OV8</v>
          </cell>
          <cell r="C187" t="str">
            <v>Overtime At 1.5 - 8</v>
          </cell>
          <cell r="D187" t="str">
            <v>WOD</v>
          </cell>
          <cell r="E187">
            <v>99</v>
          </cell>
        </row>
        <row r="188">
          <cell r="B188" t="str">
            <v>OVT</v>
          </cell>
          <cell r="C188" t="str">
            <v>Overtime at 1.5</v>
          </cell>
          <cell r="D188" t="str">
            <v>WOD</v>
          </cell>
          <cell r="E188">
            <v>99</v>
          </cell>
        </row>
        <row r="189">
          <cell r="B189" t="str">
            <v>PAL</v>
          </cell>
          <cell r="C189" t="str">
            <v>Palomar</v>
          </cell>
          <cell r="D189" t="str">
            <v>WRD</v>
          </cell>
          <cell r="E189">
            <v>99</v>
          </cell>
        </row>
        <row r="190">
          <cell r="B190" t="str">
            <v>PD1</v>
          </cell>
          <cell r="C190" t="str">
            <v>Saturday Premium</v>
          </cell>
          <cell r="D190" t="str">
            <v>WOD</v>
          </cell>
          <cell r="E190">
            <v>99</v>
          </cell>
        </row>
        <row r="191">
          <cell r="B191" t="str">
            <v>PD2</v>
          </cell>
          <cell r="C191" t="str">
            <v>Sunday Premium Pay</v>
          </cell>
          <cell r="D191" t="str">
            <v>WOD</v>
          </cell>
          <cell r="E191">
            <v>99</v>
          </cell>
        </row>
        <row r="192">
          <cell r="B192" t="str">
            <v>PER</v>
          </cell>
          <cell r="C192" t="str">
            <v>Personal Holiday</v>
          </cell>
          <cell r="D192" t="str">
            <v>WVD</v>
          </cell>
          <cell r="E192">
            <v>99</v>
          </cell>
        </row>
        <row r="193">
          <cell r="B193" t="str">
            <v>PLD</v>
          </cell>
          <cell r="C193" t="str">
            <v>Parental Leave - Sick -Bu</v>
          </cell>
          <cell r="D193" t="str">
            <v>WVD</v>
          </cell>
          <cell r="E193">
            <v>99</v>
          </cell>
        </row>
        <row r="194">
          <cell r="B194" t="str">
            <v>PLS</v>
          </cell>
          <cell r="C194" t="str">
            <v>Parental Leave - Sick-Nbu</v>
          </cell>
          <cell r="D194" t="str">
            <v>WVD</v>
          </cell>
          <cell r="E194">
            <v>99</v>
          </cell>
        </row>
        <row r="195">
          <cell r="B195" t="str">
            <v>PO1</v>
          </cell>
          <cell r="C195" t="str">
            <v>Saturday Premium</v>
          </cell>
          <cell r="D195" t="str">
            <v>WOD</v>
          </cell>
          <cell r="E195">
            <v>99</v>
          </cell>
        </row>
        <row r="196">
          <cell r="B196" t="str">
            <v>PO2</v>
          </cell>
          <cell r="C196" t="str">
            <v>Sunday</v>
          </cell>
          <cell r="D196" t="str">
            <v>WOD</v>
          </cell>
          <cell r="E196">
            <v>99</v>
          </cell>
        </row>
        <row r="197">
          <cell r="B197" t="str">
            <v>PR1</v>
          </cell>
          <cell r="C197" t="str">
            <v>Saturday - Regular</v>
          </cell>
          <cell r="D197" t="str">
            <v>WRD</v>
          </cell>
          <cell r="E197">
            <v>99</v>
          </cell>
        </row>
        <row r="198">
          <cell r="B198" t="str">
            <v>PR2</v>
          </cell>
          <cell r="C198" t="str">
            <v>Sunday - Regular</v>
          </cell>
          <cell r="D198" t="str">
            <v>WRD</v>
          </cell>
          <cell r="E198">
            <v>99</v>
          </cell>
        </row>
        <row r="199">
          <cell r="B199" t="str">
            <v>PTB</v>
          </cell>
          <cell r="C199" t="str">
            <v>Accrued PTO</v>
          </cell>
          <cell r="D199" t="str">
            <v>WVD</v>
          </cell>
          <cell r="E199">
            <v>99</v>
          </cell>
        </row>
        <row r="200">
          <cell r="B200" t="str">
            <v>PTF</v>
          </cell>
          <cell r="C200" t="str">
            <v>Personal Time - Family Lv</v>
          </cell>
          <cell r="D200" t="str">
            <v>WVD</v>
          </cell>
          <cell r="E200">
            <v>99</v>
          </cell>
        </row>
        <row r="201">
          <cell r="B201" t="str">
            <v>PTO</v>
          </cell>
          <cell r="C201" t="str">
            <v>Personal Time Off</v>
          </cell>
          <cell r="D201" t="str">
            <v>WVD</v>
          </cell>
          <cell r="E201">
            <v>99</v>
          </cell>
        </row>
        <row r="202">
          <cell r="B202" t="str">
            <v>PTP</v>
          </cell>
          <cell r="C202" t="str">
            <v>Personal Time - Paid</v>
          </cell>
          <cell r="D202" t="str">
            <v>WVD</v>
          </cell>
          <cell r="E202">
            <v>99</v>
          </cell>
        </row>
        <row r="203">
          <cell r="B203" t="str">
            <v>REG</v>
          </cell>
          <cell r="C203" t="str">
            <v>Regular Pay</v>
          </cell>
          <cell r="D203" t="str">
            <v>WRD</v>
          </cell>
          <cell r="E203">
            <v>99</v>
          </cell>
        </row>
        <row r="204">
          <cell r="B204" t="str">
            <v>RET</v>
          </cell>
          <cell r="C204" t="str">
            <v>Retroactive Pay Adjust</v>
          </cell>
          <cell r="D204" t="str">
            <v>WRD</v>
          </cell>
          <cell r="E204">
            <v>99</v>
          </cell>
        </row>
        <row r="205">
          <cell r="B205" t="str">
            <v>RG1</v>
          </cell>
          <cell r="C205" t="str">
            <v>Regular Pay</v>
          </cell>
          <cell r="D205" t="str">
            <v>WRD</v>
          </cell>
          <cell r="E205">
            <v>99</v>
          </cell>
        </row>
        <row r="206">
          <cell r="B206" t="str">
            <v>RG2</v>
          </cell>
          <cell r="C206" t="str">
            <v>Regular Pay - 2</v>
          </cell>
          <cell r="D206" t="str">
            <v>WRD</v>
          </cell>
          <cell r="E206">
            <v>99</v>
          </cell>
        </row>
        <row r="207">
          <cell r="B207" t="str">
            <v>RG3</v>
          </cell>
          <cell r="C207" t="str">
            <v>Regular Pay - 3</v>
          </cell>
          <cell r="D207" t="str">
            <v>WRD</v>
          </cell>
          <cell r="E207">
            <v>99</v>
          </cell>
        </row>
        <row r="208">
          <cell r="B208" t="str">
            <v>RG4</v>
          </cell>
          <cell r="C208" t="str">
            <v>Regular Pay - 4</v>
          </cell>
          <cell r="D208" t="str">
            <v>WRD</v>
          </cell>
          <cell r="E208">
            <v>99</v>
          </cell>
        </row>
        <row r="209">
          <cell r="B209" t="str">
            <v>RG5</v>
          </cell>
          <cell r="C209" t="str">
            <v>Regular Pay - 5</v>
          </cell>
          <cell r="D209" t="str">
            <v>WRD</v>
          </cell>
          <cell r="E209">
            <v>99</v>
          </cell>
        </row>
        <row r="210">
          <cell r="B210" t="str">
            <v>RG6</v>
          </cell>
          <cell r="C210" t="str">
            <v>Regular Pay - 6</v>
          </cell>
          <cell r="D210" t="str">
            <v>WRD</v>
          </cell>
          <cell r="E210">
            <v>99</v>
          </cell>
        </row>
        <row r="211">
          <cell r="B211" t="str">
            <v>RG7</v>
          </cell>
          <cell r="C211" t="str">
            <v>Regular Pay - 7</v>
          </cell>
          <cell r="D211" t="str">
            <v>WRD</v>
          </cell>
          <cell r="E211">
            <v>99</v>
          </cell>
        </row>
        <row r="212">
          <cell r="B212" t="str">
            <v>RG8</v>
          </cell>
          <cell r="C212" t="str">
            <v>Regular Pay - 8</v>
          </cell>
          <cell r="D212" t="str">
            <v>WRD</v>
          </cell>
          <cell r="E212">
            <v>99</v>
          </cell>
        </row>
        <row r="213">
          <cell r="B213" t="str">
            <v>RGA</v>
          </cell>
          <cell r="C213" t="str">
            <v>Regular Pay A</v>
          </cell>
          <cell r="D213" t="str">
            <v>WRD</v>
          </cell>
          <cell r="E213">
            <v>99</v>
          </cell>
        </row>
        <row r="214">
          <cell r="B214" t="str">
            <v>RGB</v>
          </cell>
          <cell r="C214" t="str">
            <v>Regular Pay B</v>
          </cell>
          <cell r="D214" t="str">
            <v>WRD</v>
          </cell>
          <cell r="E214">
            <v>99</v>
          </cell>
        </row>
        <row r="215">
          <cell r="B215" t="str">
            <v>RGC</v>
          </cell>
          <cell r="C215" t="str">
            <v>Regular Pay C</v>
          </cell>
          <cell r="D215" t="str">
            <v>WRD</v>
          </cell>
          <cell r="E215">
            <v>99</v>
          </cell>
        </row>
        <row r="216">
          <cell r="B216" t="str">
            <v>RGT</v>
          </cell>
          <cell r="C216" t="str">
            <v>Regular Pay - Transfer</v>
          </cell>
          <cell r="D216" t="str">
            <v>WRD</v>
          </cell>
          <cell r="E216">
            <v>99</v>
          </cell>
        </row>
        <row r="217">
          <cell r="B217" t="str">
            <v>RT2</v>
          </cell>
          <cell r="C217" t="str">
            <v>Retroactive Pay Adjust 2</v>
          </cell>
          <cell r="D217" t="str">
            <v>WRD</v>
          </cell>
          <cell r="E217">
            <v>99</v>
          </cell>
        </row>
        <row r="218">
          <cell r="B218" t="str">
            <v>SCK</v>
          </cell>
          <cell r="C218" t="str">
            <v>Sick Pay</v>
          </cell>
          <cell r="D218" t="str">
            <v>WVD</v>
          </cell>
          <cell r="E218">
            <v>99</v>
          </cell>
        </row>
        <row r="219">
          <cell r="B219" t="str">
            <v>SH1</v>
          </cell>
          <cell r="C219" t="str">
            <v>Swingshift Differential</v>
          </cell>
          <cell r="D219" t="str">
            <v>WRD</v>
          </cell>
          <cell r="E219">
            <v>99</v>
          </cell>
        </row>
        <row r="220">
          <cell r="B220" t="str">
            <v>SH2</v>
          </cell>
          <cell r="C220" t="str">
            <v>Graveyard Shift Differentl</v>
          </cell>
          <cell r="D220" t="str">
            <v>WRD</v>
          </cell>
          <cell r="E220">
            <v>99</v>
          </cell>
        </row>
        <row r="221">
          <cell r="B221" t="str">
            <v>SH3</v>
          </cell>
          <cell r="C221" t="str">
            <v>Swing Differential OT</v>
          </cell>
          <cell r="D221" t="str">
            <v>WOD</v>
          </cell>
          <cell r="E221">
            <v>99</v>
          </cell>
        </row>
        <row r="222">
          <cell r="B222" t="str">
            <v>SH4</v>
          </cell>
          <cell r="C222" t="str">
            <v>Grave Differential OT</v>
          </cell>
          <cell r="D222" t="str">
            <v>WOD</v>
          </cell>
          <cell r="E222">
            <v>99</v>
          </cell>
        </row>
        <row r="223">
          <cell r="B223" t="str">
            <v>SH5</v>
          </cell>
          <cell r="C223" t="str">
            <v>Swing Differential DT</v>
          </cell>
          <cell r="D223" t="str">
            <v>WOD</v>
          </cell>
          <cell r="E223">
            <v>99</v>
          </cell>
        </row>
        <row r="224">
          <cell r="B224" t="str">
            <v>SH6</v>
          </cell>
          <cell r="C224" t="str">
            <v>Grave Differential DT</v>
          </cell>
          <cell r="D224" t="str">
            <v>WOD</v>
          </cell>
          <cell r="E224">
            <v>99</v>
          </cell>
        </row>
        <row r="225">
          <cell r="B225" t="str">
            <v>SH8</v>
          </cell>
          <cell r="C225" t="str">
            <v>6th Day Swing Diff @1.5</v>
          </cell>
          <cell r="D225" t="str">
            <v>WOD</v>
          </cell>
          <cell r="E225">
            <v>99</v>
          </cell>
        </row>
        <row r="226">
          <cell r="B226" t="str">
            <v>SH9</v>
          </cell>
          <cell r="C226" t="str">
            <v>6th Day Grave Diff @1.5</v>
          </cell>
          <cell r="D226" t="str">
            <v>WOD</v>
          </cell>
          <cell r="E226">
            <v>99</v>
          </cell>
        </row>
        <row r="227">
          <cell r="B227" t="str">
            <v>SHA</v>
          </cell>
          <cell r="C227" t="str">
            <v>7th Day Swing Diff @2</v>
          </cell>
          <cell r="D227" t="str">
            <v>WOD</v>
          </cell>
          <cell r="E227">
            <v>99</v>
          </cell>
        </row>
        <row r="228">
          <cell r="B228" t="str">
            <v>SHB</v>
          </cell>
          <cell r="C228" t="str">
            <v>7th Day Grave Diff @2</v>
          </cell>
          <cell r="D228" t="str">
            <v>WOD</v>
          </cell>
          <cell r="E228">
            <v>99</v>
          </cell>
        </row>
        <row r="229">
          <cell r="B229" t="str">
            <v>SK2</v>
          </cell>
          <cell r="C229" t="str">
            <v>Sick Pay - Half Pay</v>
          </cell>
          <cell r="D229" t="str">
            <v>WVD</v>
          </cell>
          <cell r="E229">
            <v>99</v>
          </cell>
        </row>
        <row r="230">
          <cell r="B230" t="str">
            <v>STB</v>
          </cell>
          <cell r="C230" t="str">
            <v>Stand By</v>
          </cell>
          <cell r="D230" t="str">
            <v>WRD</v>
          </cell>
          <cell r="E230">
            <v>99</v>
          </cell>
        </row>
        <row r="231">
          <cell r="B231" t="str">
            <v>STD</v>
          </cell>
          <cell r="C231" t="str">
            <v>Short Term Disability</v>
          </cell>
          <cell r="D231" t="str">
            <v>WVD</v>
          </cell>
          <cell r="E231">
            <v>99</v>
          </cell>
        </row>
        <row r="232">
          <cell r="B232" t="str">
            <v>VAC</v>
          </cell>
          <cell r="C232" t="str">
            <v>Vacation Pay</v>
          </cell>
          <cell r="D232" t="str">
            <v>WVD</v>
          </cell>
          <cell r="E232">
            <v>99</v>
          </cell>
        </row>
        <row r="233">
          <cell r="B233" t="str">
            <v>VCF</v>
          </cell>
          <cell r="C233" t="str">
            <v>Vacation - Family Leave</v>
          </cell>
          <cell r="D233" t="str">
            <v>WVD</v>
          </cell>
          <cell r="E233">
            <v>99</v>
          </cell>
        </row>
        <row r="234">
          <cell r="B234" t="str">
            <v>VCT</v>
          </cell>
          <cell r="C234" t="str">
            <v>Accrued Vacation</v>
          </cell>
          <cell r="D234" t="str">
            <v>WVD</v>
          </cell>
          <cell r="E234">
            <v>99</v>
          </cell>
        </row>
        <row r="235">
          <cell r="B235" t="str">
            <v>VPB</v>
          </cell>
          <cell r="C235" t="str">
            <v>Vacation Cash Out</v>
          </cell>
          <cell r="D235" t="str">
            <v>WVD</v>
          </cell>
          <cell r="E235">
            <v>99</v>
          </cell>
        </row>
        <row r="236">
          <cell r="B236" t="str">
            <v>VST</v>
          </cell>
          <cell r="C236" t="str">
            <v>Vacation Sick Time</v>
          </cell>
          <cell r="D236" t="str">
            <v>WVD</v>
          </cell>
          <cell r="E236">
            <v>99</v>
          </cell>
        </row>
      </sheetData>
      <sheetData sheetId="2">
        <row r="2">
          <cell r="A2" t="str">
            <v>BFD</v>
          </cell>
          <cell r="B2" t="str">
            <v>$100 Cash Gift Gross-Up</v>
          </cell>
        </row>
        <row r="3">
          <cell r="A3" t="str">
            <v>ACF</v>
          </cell>
          <cell r="B3" t="str">
            <v>1time Accrual - Family Lv</v>
          </cell>
        </row>
        <row r="4">
          <cell r="A4" t="str">
            <v>SH9</v>
          </cell>
          <cell r="B4" t="str">
            <v>6th Day Grave Diff @1.5</v>
          </cell>
        </row>
        <row r="5">
          <cell r="A5" t="str">
            <v>HZ8</v>
          </cell>
          <cell r="B5" t="str">
            <v>6th Day Hazard @1.5</v>
          </cell>
        </row>
        <row r="6">
          <cell r="A6" t="str">
            <v>HM8</v>
          </cell>
          <cell r="B6" t="str">
            <v>6th Day Hzd Mat @ 1.5</v>
          </cell>
        </row>
        <row r="7">
          <cell r="A7" t="str">
            <v>SH8</v>
          </cell>
          <cell r="B7" t="str">
            <v>6th Day Swing Diff @1.5</v>
          </cell>
        </row>
        <row r="8">
          <cell r="A8" t="str">
            <v>SHB</v>
          </cell>
          <cell r="B8" t="str">
            <v>7th Day Grave Diff @2</v>
          </cell>
        </row>
        <row r="9">
          <cell r="A9" t="str">
            <v>HZ9</v>
          </cell>
          <cell r="B9" t="str">
            <v>7th Day Hazard @2</v>
          </cell>
        </row>
        <row r="10">
          <cell r="A10" t="str">
            <v>HM9</v>
          </cell>
          <cell r="B10" t="str">
            <v>7th Day Hzd Mat @2</v>
          </cell>
        </row>
        <row r="11">
          <cell r="A11" t="str">
            <v>SHA</v>
          </cell>
          <cell r="B11" t="str">
            <v>7th Day Swing Diff @2</v>
          </cell>
        </row>
        <row r="12">
          <cell r="A12" t="str">
            <v>PTB</v>
          </cell>
          <cell r="B12" t="str">
            <v>Accrued PTO</v>
          </cell>
        </row>
        <row r="13">
          <cell r="A13" t="str">
            <v>VCT</v>
          </cell>
          <cell r="B13" t="str">
            <v>Accrued Vacation</v>
          </cell>
        </row>
        <row r="14">
          <cell r="A14" t="str">
            <v>ADV</v>
          </cell>
          <cell r="B14" t="str">
            <v>Advance</v>
          </cell>
        </row>
        <row r="15">
          <cell r="A15" t="str">
            <v>AD9</v>
          </cell>
          <cell r="B15" t="str">
            <v>Advance 09</v>
          </cell>
        </row>
        <row r="16">
          <cell r="A16" t="str">
            <v>CAR</v>
          </cell>
          <cell r="B16" t="str">
            <v>Auto Allowance</v>
          </cell>
        </row>
        <row r="17">
          <cell r="A17" t="str">
            <v>BEN</v>
          </cell>
          <cell r="B17" t="str">
            <v>Benefit Allowance</v>
          </cell>
        </row>
        <row r="18">
          <cell r="A18" t="str">
            <v>BNP</v>
          </cell>
          <cell r="B18" t="str">
            <v>Benefit Allowance - Part Time</v>
          </cell>
        </row>
        <row r="19">
          <cell r="A19" t="str">
            <v>BAA</v>
          </cell>
          <cell r="B19" t="str">
            <v>Benefit Allowance Adjustment</v>
          </cell>
        </row>
        <row r="20">
          <cell r="A20" t="str">
            <v>BDD</v>
          </cell>
          <cell r="B20" t="str">
            <v>Benefit Allowance DP Dental</v>
          </cell>
        </row>
        <row r="21">
          <cell r="A21" t="str">
            <v>BDM</v>
          </cell>
          <cell r="B21" t="str">
            <v>Benefit Allowance DP Medical</v>
          </cell>
        </row>
        <row r="22">
          <cell r="A22" t="str">
            <v>BND</v>
          </cell>
          <cell r="B22" t="str">
            <v>Benefit Allowance Dental</v>
          </cell>
        </row>
        <row r="23">
          <cell r="A23" t="str">
            <v>BNL</v>
          </cell>
          <cell r="B23" t="str">
            <v>Benefit Allowance Life &amp; AD/D</v>
          </cell>
        </row>
        <row r="24">
          <cell r="A24" t="str">
            <v>BNM</v>
          </cell>
          <cell r="B24" t="str">
            <v>Benefit Allowance Medical</v>
          </cell>
        </row>
        <row r="25">
          <cell r="A25" t="str">
            <v>BNR</v>
          </cell>
          <cell r="B25" t="str">
            <v>Benefits Allowance - Retiree</v>
          </cell>
        </row>
        <row r="26">
          <cell r="A26" t="str">
            <v>BIL</v>
          </cell>
          <cell r="B26" t="str">
            <v>Bilingual Premium</v>
          </cell>
        </row>
        <row r="27">
          <cell r="A27" t="str">
            <v>BI2</v>
          </cell>
          <cell r="B27" t="str">
            <v>Bilingual Premium DT</v>
          </cell>
        </row>
        <row r="28">
          <cell r="A28" t="str">
            <v>BI1</v>
          </cell>
          <cell r="B28" t="str">
            <v>Bilingual Premium OT</v>
          </cell>
        </row>
        <row r="29">
          <cell r="A29" t="str">
            <v>DED</v>
          </cell>
          <cell r="B29" t="str">
            <v>Bonus-Deceased</v>
          </cell>
        </row>
        <row r="30">
          <cell r="A30" t="str">
            <v>BNS</v>
          </cell>
          <cell r="B30" t="str">
            <v>Bonus/Exempt</v>
          </cell>
        </row>
        <row r="31">
          <cell r="A31" t="str">
            <v>BUB</v>
          </cell>
          <cell r="B31" t="str">
            <v>Bu Benefit Allowance</v>
          </cell>
        </row>
        <row r="32">
          <cell r="A32" t="str">
            <v>CLO</v>
          </cell>
          <cell r="B32" t="str">
            <v>Call Out - Double Time</v>
          </cell>
        </row>
        <row r="33">
          <cell r="A33" t="str">
            <v>CSO</v>
          </cell>
          <cell r="B33" t="str">
            <v>Call Out - Sat/Sun - Dt</v>
          </cell>
        </row>
        <row r="34">
          <cell r="A34" t="str">
            <v>CLS</v>
          </cell>
          <cell r="B34" t="str">
            <v>Call Out - Straight Time</v>
          </cell>
        </row>
        <row r="35">
          <cell r="A35" t="str">
            <v>CSS</v>
          </cell>
          <cell r="B35" t="str">
            <v>Call Out -Sat/Sun-Strght</v>
          </cell>
        </row>
        <row r="36">
          <cell r="A36" t="str">
            <v>CAP</v>
          </cell>
          <cell r="B36" t="str">
            <v>Cap Allownce</v>
          </cell>
        </row>
        <row r="37">
          <cell r="A37" t="str">
            <v>CEL</v>
          </cell>
          <cell r="B37" t="str">
            <v>Cell Phone Reimbursement</v>
          </cell>
        </row>
        <row r="38">
          <cell r="A38" t="str">
            <v>CB2</v>
          </cell>
          <cell r="B38" t="str">
            <v>Co. Bonus Non-Pension</v>
          </cell>
        </row>
        <row r="39">
          <cell r="A39" t="str">
            <v>COM</v>
          </cell>
          <cell r="B39" t="str">
            <v>Commissions Earned</v>
          </cell>
        </row>
        <row r="40">
          <cell r="A40" t="str">
            <v>CVT</v>
          </cell>
          <cell r="B40" t="str">
            <v>Community Volunteer Time</v>
          </cell>
        </row>
        <row r="41">
          <cell r="A41" t="str">
            <v>CBS</v>
          </cell>
          <cell r="B41" t="str">
            <v>Company Bonus</v>
          </cell>
        </row>
        <row r="42">
          <cell r="A42" t="str">
            <v>UCR</v>
          </cell>
          <cell r="B42" t="str">
            <v>Company Car</v>
          </cell>
        </row>
        <row r="43">
          <cell r="A43" t="str">
            <v>CMP</v>
          </cell>
          <cell r="B43" t="str">
            <v>Compensatory Time</v>
          </cell>
        </row>
        <row r="44">
          <cell r="A44" t="str">
            <v>CON</v>
          </cell>
          <cell r="B44" t="str">
            <v>Contest Award</v>
          </cell>
        </row>
        <row r="45">
          <cell r="A45" t="str">
            <v>OP1</v>
          </cell>
          <cell r="B45" t="str">
            <v>Day 6 Retire Base @1.5 -1</v>
          </cell>
        </row>
        <row r="46">
          <cell r="A46" t="str">
            <v>OP2</v>
          </cell>
          <cell r="B46" t="str">
            <v>Day 6 Retire Base @1.5 -2</v>
          </cell>
        </row>
        <row r="47">
          <cell r="A47" t="str">
            <v>OP3</v>
          </cell>
          <cell r="B47" t="str">
            <v>Day 6 Retire Base @1.5 -3</v>
          </cell>
        </row>
        <row r="48">
          <cell r="A48" t="str">
            <v>OP4</v>
          </cell>
          <cell r="B48" t="str">
            <v>Day 6 Retire Base @1.5 -4</v>
          </cell>
        </row>
        <row r="49">
          <cell r="A49" t="str">
            <v>OP5</v>
          </cell>
          <cell r="B49" t="str">
            <v>Day 6 Retire Base @1.5 -5</v>
          </cell>
        </row>
        <row r="50">
          <cell r="A50" t="str">
            <v>OP6</v>
          </cell>
          <cell r="B50" t="str">
            <v>Day 6 Retire Base @1.5 -6</v>
          </cell>
        </row>
        <row r="51">
          <cell r="A51" t="str">
            <v>OP7</v>
          </cell>
          <cell r="B51" t="str">
            <v>Day 6 Retire Base @1.5 -7</v>
          </cell>
        </row>
        <row r="52">
          <cell r="A52" t="str">
            <v>OP8</v>
          </cell>
          <cell r="B52" t="str">
            <v>Day 6 Retire Base @1.5 -8</v>
          </cell>
        </row>
        <row r="53">
          <cell r="A53" t="str">
            <v>DP1</v>
          </cell>
          <cell r="B53" t="str">
            <v>Day 7 Retire Base @ 2 -1</v>
          </cell>
        </row>
        <row r="54">
          <cell r="A54" t="str">
            <v>DP2</v>
          </cell>
          <cell r="B54" t="str">
            <v>Day 7 Retire Base @ 2 -2</v>
          </cell>
        </row>
        <row r="55">
          <cell r="A55" t="str">
            <v>DP3</v>
          </cell>
          <cell r="B55" t="str">
            <v>Day 7 Retire Base @ 2 -3</v>
          </cell>
        </row>
        <row r="56">
          <cell r="A56" t="str">
            <v>DP4</v>
          </cell>
          <cell r="B56" t="str">
            <v>Day 7 Retire Base @ 2 -4</v>
          </cell>
        </row>
        <row r="57">
          <cell r="A57" t="str">
            <v>DP5</v>
          </cell>
          <cell r="B57" t="str">
            <v>Day 7 Retire Base @ 2 -5</v>
          </cell>
        </row>
        <row r="58">
          <cell r="A58" t="str">
            <v>DP6</v>
          </cell>
          <cell r="B58" t="str">
            <v>Day 7 Retire Base @ 2 -6</v>
          </cell>
        </row>
        <row r="59">
          <cell r="A59" t="str">
            <v>DP7</v>
          </cell>
          <cell r="B59" t="str">
            <v>Day 7 Retire Base @ 2 -7</v>
          </cell>
        </row>
        <row r="60">
          <cell r="A60" t="str">
            <v>DP8</v>
          </cell>
          <cell r="B60" t="str">
            <v>Day 7 Retire Base @ 2 -8</v>
          </cell>
        </row>
        <row r="61">
          <cell r="A61" t="str">
            <v>HMO</v>
          </cell>
          <cell r="B61" t="str">
            <v>Dental Insurance Refund</v>
          </cell>
        </row>
        <row r="62">
          <cell r="A62" t="str">
            <v>DOT</v>
          </cell>
          <cell r="B62" t="str">
            <v>Donation of Leave Time</v>
          </cell>
        </row>
        <row r="63">
          <cell r="A63" t="str">
            <v>DTP</v>
          </cell>
          <cell r="B63" t="str">
            <v>Doubletime</v>
          </cell>
        </row>
        <row r="64">
          <cell r="A64" t="str">
            <v>DC1</v>
          </cell>
          <cell r="B64" t="str">
            <v>Doubletime W-O W-Comp - 1</v>
          </cell>
        </row>
        <row r="65">
          <cell r="A65" t="str">
            <v>DC2</v>
          </cell>
          <cell r="B65" t="str">
            <v>Doubletime W-O W-Comp - 2</v>
          </cell>
        </row>
        <row r="66">
          <cell r="A66" t="str">
            <v>DC3</v>
          </cell>
          <cell r="B66" t="str">
            <v>Doubletime W-O W-Comp - 3</v>
          </cell>
        </row>
        <row r="67">
          <cell r="A67" t="str">
            <v>DC4</v>
          </cell>
          <cell r="B67" t="str">
            <v>Doubletime W-O W-Comp - 4</v>
          </cell>
        </row>
        <row r="68">
          <cell r="A68" t="str">
            <v>DC5</v>
          </cell>
          <cell r="B68" t="str">
            <v>Doubletime W-O W-Comp - 5</v>
          </cell>
        </row>
        <row r="69">
          <cell r="A69" t="str">
            <v>EDC</v>
          </cell>
          <cell r="B69" t="str">
            <v>EDC distribution</v>
          </cell>
        </row>
        <row r="70">
          <cell r="A70" t="str">
            <v>EDP</v>
          </cell>
          <cell r="B70" t="str">
            <v>EDC distribution</v>
          </cell>
        </row>
        <row r="71">
          <cell r="A71" t="str">
            <v>ERI</v>
          </cell>
          <cell r="B71" t="str">
            <v>Early Retirement Incentive</v>
          </cell>
        </row>
        <row r="72">
          <cell r="A72" t="str">
            <v>ELC</v>
          </cell>
          <cell r="B72" t="str">
            <v>Electric Steal Award</v>
          </cell>
        </row>
        <row r="73">
          <cell r="A73" t="str">
            <v>AUX</v>
          </cell>
          <cell r="B73" t="str">
            <v>Exec Auto Compensation</v>
          </cell>
        </row>
        <row r="74">
          <cell r="A74" t="str">
            <v>FLV</v>
          </cell>
          <cell r="B74" t="str">
            <v>Family Leave W/O Pay</v>
          </cell>
        </row>
        <row r="75">
          <cell r="A75" t="str">
            <v>FLH</v>
          </cell>
          <cell r="B75" t="str">
            <v>Floating Holiday</v>
          </cell>
        </row>
        <row r="76">
          <cell r="A76" t="str">
            <v>FNL</v>
          </cell>
          <cell r="B76" t="str">
            <v>Funeral Leave</v>
          </cell>
        </row>
        <row r="77">
          <cell r="A77" t="str">
            <v>GAS</v>
          </cell>
          <cell r="B77" t="str">
            <v>Gas Steal Award</v>
          </cell>
        </row>
        <row r="78">
          <cell r="A78" t="str">
            <v>GIL</v>
          </cell>
          <cell r="B78" t="str">
            <v>Gill Ranch Storage</v>
          </cell>
        </row>
        <row r="79">
          <cell r="A79" t="str">
            <v>SH6</v>
          </cell>
          <cell r="B79" t="str">
            <v>Grave Differential DT</v>
          </cell>
        </row>
        <row r="80">
          <cell r="A80" t="str">
            <v>SH4</v>
          </cell>
          <cell r="B80" t="str">
            <v>Grave Differential OT</v>
          </cell>
        </row>
        <row r="81">
          <cell r="A81" t="str">
            <v>SH2</v>
          </cell>
          <cell r="B81" t="str">
            <v>Graveyard Shift Differentl</v>
          </cell>
        </row>
        <row r="82">
          <cell r="A82" t="str">
            <v>GUB</v>
          </cell>
          <cell r="B82" t="str">
            <v>Gross Up Bonus</v>
          </cell>
        </row>
        <row r="83">
          <cell r="A83" t="str">
            <v>HZ2</v>
          </cell>
          <cell r="B83" t="str">
            <v>Haz Pay Doubletime</v>
          </cell>
        </row>
        <row r="84">
          <cell r="A84" t="str">
            <v>HZO</v>
          </cell>
          <cell r="B84" t="str">
            <v>Hazard Coord Overtime</v>
          </cell>
        </row>
        <row r="85">
          <cell r="A85" t="str">
            <v>HZM</v>
          </cell>
          <cell r="B85" t="str">
            <v>Hazard Materials Differential</v>
          </cell>
        </row>
        <row r="86">
          <cell r="A86" t="str">
            <v>HM2</v>
          </cell>
          <cell r="B86" t="str">
            <v>Hazard Materials Doubletime</v>
          </cell>
        </row>
        <row r="87">
          <cell r="A87" t="str">
            <v>HM1</v>
          </cell>
          <cell r="B87" t="str">
            <v>Hazard Materials Overtime</v>
          </cell>
        </row>
        <row r="88">
          <cell r="A88" t="str">
            <v>HZD</v>
          </cell>
          <cell r="B88" t="str">
            <v>Hazardous Coord - Strght</v>
          </cell>
        </row>
        <row r="89">
          <cell r="A89" t="str">
            <v>HPD</v>
          </cell>
          <cell r="B89" t="str">
            <v>High Pay Doubletime</v>
          </cell>
        </row>
        <row r="90">
          <cell r="A90" t="str">
            <v>HPO</v>
          </cell>
          <cell r="B90" t="str">
            <v>High Pay Overtime</v>
          </cell>
        </row>
        <row r="91">
          <cell r="A91" t="str">
            <v>HPY</v>
          </cell>
          <cell r="B91" t="str">
            <v>High Pay Work</v>
          </cell>
        </row>
        <row r="92">
          <cell r="A92" t="str">
            <v>HLA</v>
          </cell>
          <cell r="B92" t="str">
            <v>Holiday Allowance</v>
          </cell>
        </row>
        <row r="93">
          <cell r="A93" t="str">
            <v>HOL</v>
          </cell>
          <cell r="B93" t="str">
            <v>Holiday Pay</v>
          </cell>
        </row>
        <row r="94">
          <cell r="A94" t="str">
            <v>IDD</v>
          </cell>
          <cell r="B94" t="str">
            <v>Ind Dis Differential</v>
          </cell>
        </row>
        <row r="95">
          <cell r="A95" t="str">
            <v>IDS</v>
          </cell>
          <cell r="B95" t="str">
            <v>Industrial Disability</v>
          </cell>
        </row>
        <row r="96">
          <cell r="A96" t="str">
            <v>JUR</v>
          </cell>
          <cell r="B96" t="str">
            <v>Jury Duty</v>
          </cell>
        </row>
        <row r="97">
          <cell r="A97" t="str">
            <v>JRD</v>
          </cell>
          <cell r="B97" t="str">
            <v>Jury Duty Differential</v>
          </cell>
        </row>
        <row r="98">
          <cell r="A98" t="str">
            <v>LPR</v>
          </cell>
          <cell r="B98" t="str">
            <v>Lead Pay</v>
          </cell>
        </row>
        <row r="99">
          <cell r="A99" t="str">
            <v>LPD</v>
          </cell>
          <cell r="B99" t="str">
            <v>Lead Pay Doubletime</v>
          </cell>
        </row>
        <row r="100">
          <cell r="A100" t="str">
            <v>LPO</v>
          </cell>
          <cell r="B100" t="str">
            <v>Lead Pay Overtime</v>
          </cell>
        </row>
        <row r="101">
          <cell r="A101" t="str">
            <v>LWO</v>
          </cell>
          <cell r="B101" t="str">
            <v>Leave Without Pay</v>
          </cell>
        </row>
        <row r="102">
          <cell r="A102" t="str">
            <v>LWV</v>
          </cell>
          <cell r="B102" t="str">
            <v>Leave Without Pay -- Voluntary</v>
          </cell>
        </row>
        <row r="103">
          <cell r="A103" t="str">
            <v>LDO</v>
          </cell>
          <cell r="B103" t="str">
            <v>Light Duty Diff - Overtime</v>
          </cell>
        </row>
        <row r="104">
          <cell r="A104" t="str">
            <v>LDR</v>
          </cell>
          <cell r="B104" t="str">
            <v>Light Duty Diff - Regular</v>
          </cell>
        </row>
        <row r="105">
          <cell r="A105" t="str">
            <v>LTP</v>
          </cell>
          <cell r="B105" t="str">
            <v>Long Term Incentive Plan</v>
          </cell>
        </row>
        <row r="106">
          <cell r="A106" t="str">
            <v>LMP</v>
          </cell>
          <cell r="B106" t="str">
            <v>Lump Sum</v>
          </cell>
        </row>
        <row r="107">
          <cell r="A107" t="str">
            <v>MLS</v>
          </cell>
          <cell r="B107" t="str">
            <v>Meal Allowance</v>
          </cell>
        </row>
        <row r="108">
          <cell r="A108" t="str">
            <v>MBS</v>
          </cell>
          <cell r="B108" t="str">
            <v>Merit Bonus</v>
          </cell>
        </row>
        <row r="109">
          <cell r="A109" t="str">
            <v>MIL</v>
          </cell>
          <cell r="B109" t="str">
            <v>Mileage Reimbursement</v>
          </cell>
        </row>
        <row r="110">
          <cell r="A110" t="str">
            <v>MLV</v>
          </cell>
          <cell r="B110" t="str">
            <v>Military Leave Differentl</v>
          </cell>
        </row>
        <row r="111">
          <cell r="A111" t="str">
            <v>MLW</v>
          </cell>
          <cell r="B111" t="str">
            <v>Military Lve W/Out Pay</v>
          </cell>
        </row>
        <row r="112">
          <cell r="A112" t="str">
            <v>MVA</v>
          </cell>
          <cell r="B112" t="str">
            <v>Moving Allowance</v>
          </cell>
        </row>
        <row r="113">
          <cell r="A113" t="str">
            <v>TR1</v>
          </cell>
          <cell r="B113" t="str">
            <v>Moving Allowance - Qualified</v>
          </cell>
        </row>
        <row r="114">
          <cell r="A114" t="str">
            <v>NTF</v>
          </cell>
          <cell r="B114" t="str">
            <v>Non FWT Taxable Fringe Benefit</v>
          </cell>
        </row>
        <row r="115">
          <cell r="A115" t="str">
            <v>BDR</v>
          </cell>
          <cell r="B115" t="str">
            <v>Non-Cash Domestic Part Taxable</v>
          </cell>
        </row>
        <row r="116">
          <cell r="A116" t="str">
            <v>NCF</v>
          </cell>
          <cell r="B116" t="str">
            <v>Non-Cash Fringe Benefit</v>
          </cell>
        </row>
        <row r="117">
          <cell r="A117" t="str">
            <v>NQS</v>
          </cell>
          <cell r="B117" t="str">
            <v>Non-Qualified Stock Options</v>
          </cell>
        </row>
        <row r="118">
          <cell r="A118" t="str">
            <v>ACA</v>
          </cell>
          <cell r="B118" t="str">
            <v>One Time Accrual Adjustment</v>
          </cell>
        </row>
        <row r="119">
          <cell r="A119" t="str">
            <v>ACP</v>
          </cell>
          <cell r="B119" t="str">
            <v>One Time Accrual Paid Cash</v>
          </cell>
        </row>
        <row r="120">
          <cell r="A120" t="str">
            <v>ACC</v>
          </cell>
          <cell r="B120" t="str">
            <v>One-Time Accrual</v>
          </cell>
        </row>
        <row r="121">
          <cell r="A121" t="str">
            <v>WCD</v>
          </cell>
          <cell r="B121" t="str">
            <v>Oregon Workers Comp Days</v>
          </cell>
        </row>
        <row r="122">
          <cell r="A122" t="str">
            <v>OTP</v>
          </cell>
          <cell r="B122" t="str">
            <v>Overtime At 1.5</v>
          </cell>
        </row>
        <row r="123">
          <cell r="A123" t="str">
            <v>OV1</v>
          </cell>
          <cell r="B123" t="str">
            <v>Overtime At 1.5</v>
          </cell>
        </row>
        <row r="124">
          <cell r="A124" t="str">
            <v>OV2</v>
          </cell>
          <cell r="B124" t="str">
            <v>Overtime At 1.5 - 2</v>
          </cell>
        </row>
        <row r="125">
          <cell r="A125" t="str">
            <v>OV3</v>
          </cell>
          <cell r="B125" t="str">
            <v>Overtime At 1.5 - 3</v>
          </cell>
        </row>
        <row r="126">
          <cell r="A126" t="str">
            <v>OV4</v>
          </cell>
          <cell r="B126" t="str">
            <v>Overtime At 1.5 - 4</v>
          </cell>
        </row>
        <row r="127">
          <cell r="A127" t="str">
            <v>OV5</v>
          </cell>
          <cell r="B127" t="str">
            <v>Overtime At 1.5 - 5</v>
          </cell>
        </row>
        <row r="128">
          <cell r="A128" t="str">
            <v>OV6</v>
          </cell>
          <cell r="B128" t="str">
            <v>Overtime At 1.5 - 6</v>
          </cell>
        </row>
        <row r="129">
          <cell r="A129" t="str">
            <v>OV7</v>
          </cell>
          <cell r="B129" t="str">
            <v>Overtime At 1.5 - 7</v>
          </cell>
        </row>
        <row r="130">
          <cell r="A130" t="str">
            <v>OV8</v>
          </cell>
          <cell r="B130" t="str">
            <v>Overtime At 1.5 - 8</v>
          </cell>
        </row>
        <row r="131">
          <cell r="A131" t="str">
            <v>DBT</v>
          </cell>
          <cell r="B131" t="str">
            <v>Overtime At Double</v>
          </cell>
        </row>
        <row r="132">
          <cell r="A132" t="str">
            <v>DT1</v>
          </cell>
          <cell r="B132" t="str">
            <v>Overtime At Double</v>
          </cell>
        </row>
        <row r="133">
          <cell r="A133" t="str">
            <v>OT2</v>
          </cell>
          <cell r="B133" t="str">
            <v>Overtime At Double</v>
          </cell>
        </row>
        <row r="134">
          <cell r="A134" t="str">
            <v>DT2</v>
          </cell>
          <cell r="B134" t="str">
            <v>Overtime At Double - 2</v>
          </cell>
        </row>
        <row r="135">
          <cell r="A135" t="str">
            <v>DT3</v>
          </cell>
          <cell r="B135" t="str">
            <v>Overtime At Double - 3</v>
          </cell>
        </row>
        <row r="136">
          <cell r="A136" t="str">
            <v>DT4</v>
          </cell>
          <cell r="B136" t="str">
            <v>Overtime At Double - 4</v>
          </cell>
        </row>
        <row r="137">
          <cell r="A137" t="str">
            <v>DT5</v>
          </cell>
          <cell r="B137" t="str">
            <v>Overtime At Double - 5</v>
          </cell>
        </row>
        <row r="138">
          <cell r="A138" t="str">
            <v>DT6</v>
          </cell>
          <cell r="B138" t="str">
            <v>Overtime At Double - 6</v>
          </cell>
        </row>
        <row r="139">
          <cell r="A139" t="str">
            <v>DT7</v>
          </cell>
          <cell r="B139" t="str">
            <v>Overtime At Double - 7</v>
          </cell>
        </row>
        <row r="140">
          <cell r="A140" t="str">
            <v>DT8</v>
          </cell>
          <cell r="B140" t="str">
            <v>Overtime At Double - 8</v>
          </cell>
        </row>
        <row r="141">
          <cell r="A141" t="str">
            <v>OC1</v>
          </cell>
          <cell r="B141" t="str">
            <v>Overtime W-O W-Comp - 1</v>
          </cell>
        </row>
        <row r="142">
          <cell r="A142" t="str">
            <v>OC2</v>
          </cell>
          <cell r="B142" t="str">
            <v>Overtime W-O W-Comp - 2</v>
          </cell>
        </row>
        <row r="143">
          <cell r="A143" t="str">
            <v>OC3</v>
          </cell>
          <cell r="B143" t="str">
            <v>Overtime W-O W-Comp - 3</v>
          </cell>
        </row>
        <row r="144">
          <cell r="A144" t="str">
            <v>OC4</v>
          </cell>
          <cell r="B144" t="str">
            <v>Overtime W-O W-Comp - 4</v>
          </cell>
        </row>
        <row r="145">
          <cell r="A145" t="str">
            <v>OC5</v>
          </cell>
          <cell r="B145" t="str">
            <v>Overtime W-O W-Comp - 5</v>
          </cell>
        </row>
        <row r="146">
          <cell r="A146" t="str">
            <v>OVT</v>
          </cell>
          <cell r="B146" t="str">
            <v>Overtime at 1.5</v>
          </cell>
        </row>
        <row r="147">
          <cell r="A147" t="str">
            <v>OTC</v>
          </cell>
          <cell r="B147" t="str">
            <v>Overtime half pay commission</v>
          </cell>
        </row>
        <row r="148">
          <cell r="A148" t="str">
            <v>PAL</v>
          </cell>
          <cell r="B148" t="str">
            <v>Palomar</v>
          </cell>
        </row>
        <row r="149">
          <cell r="A149" t="str">
            <v>PLD</v>
          </cell>
          <cell r="B149" t="str">
            <v>Parental Leave - Sick -Bu</v>
          </cell>
        </row>
        <row r="150">
          <cell r="A150" t="str">
            <v>PLS</v>
          </cell>
          <cell r="B150" t="str">
            <v>Parental Leave - Sick-Nbu</v>
          </cell>
        </row>
        <row r="151">
          <cell r="A151" t="str">
            <v>PRD</v>
          </cell>
          <cell r="B151" t="str">
            <v>Per Diem</v>
          </cell>
        </row>
        <row r="152">
          <cell r="A152" t="str">
            <v>PER</v>
          </cell>
          <cell r="B152" t="str">
            <v>Personal Holiday</v>
          </cell>
        </row>
        <row r="153">
          <cell r="A153" t="str">
            <v>PTF</v>
          </cell>
          <cell r="B153" t="str">
            <v>Personal Time - Family Lv</v>
          </cell>
        </row>
        <row r="154">
          <cell r="A154" t="str">
            <v>PTP</v>
          </cell>
          <cell r="B154" t="str">
            <v>Personal Time - Paid</v>
          </cell>
        </row>
        <row r="155">
          <cell r="A155" t="str">
            <v>PTO</v>
          </cell>
          <cell r="B155" t="str">
            <v>Personal Time Off</v>
          </cell>
        </row>
        <row r="156">
          <cell r="A156" t="str">
            <v>PTA</v>
          </cell>
          <cell r="B156" t="str">
            <v>Personal Time Off Adjustment</v>
          </cell>
        </row>
        <row r="157">
          <cell r="A157" t="str">
            <v>SP0</v>
          </cell>
          <cell r="B157" t="str">
            <v>Refund</v>
          </cell>
        </row>
        <row r="158">
          <cell r="A158" t="str">
            <v>REG</v>
          </cell>
          <cell r="B158" t="str">
            <v>Regular Pay</v>
          </cell>
        </row>
        <row r="159">
          <cell r="A159" t="str">
            <v>RG1</v>
          </cell>
          <cell r="B159" t="str">
            <v>Regular Pay</v>
          </cell>
        </row>
        <row r="160">
          <cell r="A160" t="str">
            <v>RG2</v>
          </cell>
          <cell r="B160" t="str">
            <v>Regular Pay - 2</v>
          </cell>
        </row>
        <row r="161">
          <cell r="A161" t="str">
            <v>RG3</v>
          </cell>
          <cell r="B161" t="str">
            <v>Regular Pay - 3</v>
          </cell>
        </row>
        <row r="162">
          <cell r="A162" t="str">
            <v>RG4</v>
          </cell>
          <cell r="B162" t="str">
            <v>Regular Pay - 4</v>
          </cell>
        </row>
        <row r="163">
          <cell r="A163" t="str">
            <v>RG5</v>
          </cell>
          <cell r="B163" t="str">
            <v>Regular Pay - 5</v>
          </cell>
        </row>
        <row r="164">
          <cell r="A164" t="str">
            <v>RG6</v>
          </cell>
          <cell r="B164" t="str">
            <v>Regular Pay - 6</v>
          </cell>
        </row>
        <row r="165">
          <cell r="A165" t="str">
            <v>RG7</v>
          </cell>
          <cell r="B165" t="str">
            <v>Regular Pay - 7</v>
          </cell>
        </row>
        <row r="166">
          <cell r="A166" t="str">
            <v>RG8</v>
          </cell>
          <cell r="B166" t="str">
            <v>Regular Pay - 8</v>
          </cell>
        </row>
        <row r="167">
          <cell r="A167" t="str">
            <v>RGT</v>
          </cell>
          <cell r="B167" t="str">
            <v>Regular Pay - Transfer</v>
          </cell>
        </row>
        <row r="168">
          <cell r="A168" t="str">
            <v>RGA</v>
          </cell>
          <cell r="B168" t="str">
            <v>Regular Pay A</v>
          </cell>
        </row>
        <row r="169">
          <cell r="A169" t="str">
            <v>RGB</v>
          </cell>
          <cell r="B169" t="str">
            <v>Regular Pay B</v>
          </cell>
        </row>
        <row r="170">
          <cell r="A170" t="str">
            <v>RGC</v>
          </cell>
          <cell r="B170" t="str">
            <v>Regular Pay C</v>
          </cell>
        </row>
        <row r="171">
          <cell r="A171" t="str">
            <v>RAR</v>
          </cell>
          <cell r="B171" t="str">
            <v>Remote Access Reimbursement</v>
          </cell>
        </row>
        <row r="172">
          <cell r="A172" t="str">
            <v>SP8</v>
          </cell>
          <cell r="B172" t="str">
            <v>Ret Domestic Partner Benefit</v>
          </cell>
        </row>
        <row r="173">
          <cell r="A173" t="str">
            <v>SP2</v>
          </cell>
          <cell r="B173" t="str">
            <v>Retiree Excess Life Insurance</v>
          </cell>
        </row>
        <row r="174">
          <cell r="A174" t="str">
            <v>RTA</v>
          </cell>
          <cell r="B174" t="str">
            <v>Retirement Trust Add'l Pay</v>
          </cell>
        </row>
        <row r="175">
          <cell r="A175" t="str">
            <v>RTF</v>
          </cell>
          <cell r="B175" t="str">
            <v>Retirement Trust Fund</v>
          </cell>
        </row>
        <row r="176">
          <cell r="A176" t="str">
            <v>RET</v>
          </cell>
          <cell r="B176" t="str">
            <v>Retroactive Pay Adjust</v>
          </cell>
        </row>
        <row r="177">
          <cell r="A177" t="str">
            <v>RT2</v>
          </cell>
          <cell r="B177" t="str">
            <v>Retroactive Pay Adjust 2</v>
          </cell>
        </row>
        <row r="178">
          <cell r="A178" t="str">
            <v>SAF</v>
          </cell>
          <cell r="B178" t="str">
            <v>Safety Award</v>
          </cell>
        </row>
        <row r="179">
          <cell r="A179" t="str">
            <v>PR1</v>
          </cell>
          <cell r="B179" t="str">
            <v>Saturday - Regular</v>
          </cell>
        </row>
        <row r="180">
          <cell r="A180" t="str">
            <v>PD1</v>
          </cell>
          <cell r="B180" t="str">
            <v>Saturday Premium</v>
          </cell>
        </row>
        <row r="181">
          <cell r="A181" t="str">
            <v>PO1</v>
          </cell>
          <cell r="B181" t="str">
            <v>Saturday Premium</v>
          </cell>
        </row>
        <row r="182">
          <cell r="A182" t="str">
            <v>SEP</v>
          </cell>
          <cell r="B182" t="str">
            <v>Separation</v>
          </cell>
        </row>
        <row r="183">
          <cell r="A183" t="str">
            <v>SEV</v>
          </cell>
          <cell r="B183" t="str">
            <v>Severance Pay</v>
          </cell>
        </row>
        <row r="184">
          <cell r="A184" t="str">
            <v>SVR</v>
          </cell>
          <cell r="B184" t="str">
            <v>Severance Pay r</v>
          </cell>
        </row>
        <row r="185">
          <cell r="A185" t="str">
            <v>STD</v>
          </cell>
          <cell r="B185" t="str">
            <v>Short Term Disability</v>
          </cell>
        </row>
        <row r="186">
          <cell r="A186" t="str">
            <v>SCA</v>
          </cell>
          <cell r="B186" t="str">
            <v>Sick Adjustment</v>
          </cell>
        </row>
        <row r="187">
          <cell r="A187" t="str">
            <v>DIS</v>
          </cell>
          <cell r="B187" t="str">
            <v>Sick Pay</v>
          </cell>
        </row>
        <row r="188">
          <cell r="A188" t="str">
            <v>SCK</v>
          </cell>
          <cell r="B188" t="str">
            <v>Sick Pay</v>
          </cell>
        </row>
        <row r="189">
          <cell r="A189" t="str">
            <v>SK2</v>
          </cell>
          <cell r="B189" t="str">
            <v>Sick Pay - Half Pay</v>
          </cell>
        </row>
        <row r="190">
          <cell r="A190" t="str">
            <v>SBN</v>
          </cell>
          <cell r="B190" t="str">
            <v>Spot Bonus</v>
          </cell>
        </row>
        <row r="191">
          <cell r="A191" t="str">
            <v>STB</v>
          </cell>
          <cell r="B191" t="str">
            <v>Stand By</v>
          </cell>
        </row>
        <row r="192">
          <cell r="A192" t="str">
            <v>SUG</v>
          </cell>
          <cell r="B192" t="str">
            <v>Suggestion Awards</v>
          </cell>
        </row>
        <row r="193">
          <cell r="A193" t="str">
            <v>PO2</v>
          </cell>
          <cell r="B193" t="str">
            <v>Sunday</v>
          </cell>
        </row>
        <row r="194">
          <cell r="A194" t="str">
            <v>PR2</v>
          </cell>
          <cell r="B194" t="str">
            <v>Sunday - Regular</v>
          </cell>
        </row>
        <row r="195">
          <cell r="A195" t="str">
            <v>PD2</v>
          </cell>
          <cell r="B195" t="str">
            <v>Sunday Premium Pay</v>
          </cell>
        </row>
        <row r="196">
          <cell r="A196" t="str">
            <v>SP7</v>
          </cell>
          <cell r="B196" t="str">
            <v>Suppl. Pnsn 60 mo. #7 DeBolt</v>
          </cell>
        </row>
        <row r="197">
          <cell r="A197" t="str">
            <v>SP1</v>
          </cell>
          <cell r="B197" t="str">
            <v>Supplmntl Pension #1 - 1958</v>
          </cell>
        </row>
        <row r="198">
          <cell r="A198" t="str">
            <v>SP3</v>
          </cell>
          <cell r="B198" t="str">
            <v>Supplmntl Pension #3 - 1983</v>
          </cell>
        </row>
        <row r="199">
          <cell r="A199" t="str">
            <v>SP4</v>
          </cell>
          <cell r="B199" t="str">
            <v>Supplmntl Pension #4 - EDC Dif</v>
          </cell>
        </row>
        <row r="200">
          <cell r="A200" t="str">
            <v>SP5</v>
          </cell>
          <cell r="B200" t="str">
            <v>Supplmntl Pension #5 - De Bolt</v>
          </cell>
        </row>
        <row r="201">
          <cell r="A201" t="str">
            <v>SP6</v>
          </cell>
          <cell r="B201" t="str">
            <v>Supplmntl Pension #6 - JA Ande</v>
          </cell>
        </row>
        <row r="202">
          <cell r="A202" t="str">
            <v>SH5</v>
          </cell>
          <cell r="B202" t="str">
            <v>Swing Differential DT</v>
          </cell>
        </row>
        <row r="203">
          <cell r="A203" t="str">
            <v>SH3</v>
          </cell>
          <cell r="B203" t="str">
            <v>Swing Differential OT</v>
          </cell>
        </row>
        <row r="204">
          <cell r="A204" t="str">
            <v>SH1</v>
          </cell>
          <cell r="B204" t="str">
            <v>Swingshift Differential</v>
          </cell>
        </row>
        <row r="205">
          <cell r="A205" t="str">
            <v>TIP</v>
          </cell>
          <cell r="B205" t="str">
            <v>Tip - Prospect Payroll</v>
          </cell>
        </row>
        <row r="206">
          <cell r="A206" t="str">
            <v>TRV</v>
          </cell>
          <cell r="B206" t="str">
            <v>Travel Allowance</v>
          </cell>
        </row>
        <row r="207">
          <cell r="A207" t="str">
            <v>TRI</v>
          </cell>
          <cell r="B207" t="str">
            <v>Tri Met</v>
          </cell>
        </row>
        <row r="208">
          <cell r="A208" t="str">
            <v>VCF</v>
          </cell>
          <cell r="B208" t="str">
            <v>Vacation - Family Leave</v>
          </cell>
        </row>
        <row r="209">
          <cell r="A209" t="str">
            <v>VAA</v>
          </cell>
          <cell r="B209" t="str">
            <v>Vacation Adjustment</v>
          </cell>
        </row>
        <row r="210">
          <cell r="A210" t="str">
            <v>VAB</v>
          </cell>
          <cell r="B210" t="str">
            <v>Vacation Banked</v>
          </cell>
        </row>
        <row r="211">
          <cell r="A211" t="str">
            <v>VPB</v>
          </cell>
          <cell r="B211" t="str">
            <v>Vacation Cash Out</v>
          </cell>
        </row>
        <row r="212">
          <cell r="A212" t="str">
            <v>VAC</v>
          </cell>
          <cell r="B212" t="str">
            <v>Vacation Pay</v>
          </cell>
        </row>
        <row r="213">
          <cell r="A213" t="str">
            <v>VST</v>
          </cell>
          <cell r="B213" t="str">
            <v>Vacation Sick Time</v>
          </cell>
        </row>
        <row r="214">
          <cell r="A214" t="str">
            <v>LMV</v>
          </cell>
          <cell r="B214" t="str">
            <v>Voluntary Leave Without Pay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Earnings"/>
      <sheetName val="Earnings"/>
      <sheetName val="Earnings and Job Codes"/>
      <sheetName val="Executive Listing"/>
      <sheetName val="Sheet6"/>
    </sheetNames>
    <sheetDataSet>
      <sheetData sheetId="0"/>
      <sheetData sheetId="1"/>
      <sheetData sheetId="2">
        <row r="2">
          <cell r="A2" t="str">
            <v>BNS</v>
          </cell>
          <cell r="B2" t="str">
            <v>Bonus/Exempt</v>
          </cell>
          <cell r="C2" t="str">
            <v>B</v>
          </cell>
          <cell r="D2">
            <v>0</v>
          </cell>
        </row>
        <row r="3">
          <cell r="A3" t="str">
            <v>CBS</v>
          </cell>
          <cell r="B3" t="str">
            <v>Company Bonus</v>
          </cell>
          <cell r="C3" t="str">
            <v>B</v>
          </cell>
          <cell r="D3">
            <v>0</v>
          </cell>
        </row>
        <row r="4">
          <cell r="A4" t="str">
            <v>GUB</v>
          </cell>
          <cell r="B4" t="str">
            <v>Gross Up Bonus</v>
          </cell>
          <cell r="C4" t="str">
            <v>B</v>
          </cell>
          <cell r="D4">
            <v>0</v>
          </cell>
        </row>
        <row r="5">
          <cell r="A5" t="str">
            <v>LTP</v>
          </cell>
          <cell r="B5" t="str">
            <v>Long Term Incentive Plan</v>
          </cell>
          <cell r="C5" t="str">
            <v>B</v>
          </cell>
          <cell r="D5">
            <v>0</v>
          </cell>
        </row>
        <row r="6">
          <cell r="A6" t="str">
            <v>MVA</v>
          </cell>
          <cell r="B6" t="str">
            <v>Moving Allowance</v>
          </cell>
          <cell r="C6" t="str">
            <v>B</v>
          </cell>
          <cell r="D6">
            <v>0</v>
          </cell>
        </row>
        <row r="7">
          <cell r="A7" t="str">
            <v>SBN</v>
          </cell>
          <cell r="B7" t="str">
            <v>Spot Bonus</v>
          </cell>
          <cell r="C7" t="str">
            <v>B</v>
          </cell>
          <cell r="D7">
            <v>0</v>
          </cell>
        </row>
        <row r="8">
          <cell r="A8" t="str">
            <v>BI1</v>
          </cell>
          <cell r="B8" t="str">
            <v>Bilingual Premium OT</v>
          </cell>
          <cell r="C8" t="str">
            <v>O</v>
          </cell>
          <cell r="D8">
            <v>0</v>
          </cell>
        </row>
        <row r="9">
          <cell r="A9" t="str">
            <v>BIL</v>
          </cell>
          <cell r="B9" t="str">
            <v>Bilingual Premium</v>
          </cell>
          <cell r="C9" t="str">
            <v>O</v>
          </cell>
          <cell r="D9">
            <v>0</v>
          </cell>
        </row>
        <row r="10">
          <cell r="A10" t="str">
            <v>CLO</v>
          </cell>
          <cell r="B10" t="str">
            <v>Call Out - Double Time</v>
          </cell>
          <cell r="C10" t="str">
            <v>O</v>
          </cell>
          <cell r="D10">
            <v>0</v>
          </cell>
        </row>
        <row r="11">
          <cell r="A11" t="str">
            <v>CSO</v>
          </cell>
          <cell r="B11" t="str">
            <v>Call Out - Sat/Sun - Dt</v>
          </cell>
          <cell r="C11" t="str">
            <v>O</v>
          </cell>
          <cell r="D11">
            <v>0</v>
          </cell>
        </row>
        <row r="12">
          <cell r="A12" t="str">
            <v>DP1</v>
          </cell>
          <cell r="B12" t="str">
            <v>Day 7 Retire Base @ 2 -1</v>
          </cell>
          <cell r="C12" t="str">
            <v>O</v>
          </cell>
          <cell r="D12">
            <v>0</v>
          </cell>
        </row>
        <row r="13">
          <cell r="A13" t="str">
            <v>DT1</v>
          </cell>
          <cell r="B13" t="str">
            <v>Overtime At Double</v>
          </cell>
          <cell r="C13" t="str">
            <v>O</v>
          </cell>
          <cell r="D13">
            <v>0</v>
          </cell>
        </row>
        <row r="14">
          <cell r="A14" t="str">
            <v>DT2</v>
          </cell>
          <cell r="B14" t="str">
            <v>Overtime At Double - 2</v>
          </cell>
          <cell r="C14" t="str">
            <v>O</v>
          </cell>
          <cell r="D14">
            <v>0</v>
          </cell>
        </row>
        <row r="15">
          <cell r="A15" t="str">
            <v>DT3</v>
          </cell>
          <cell r="B15" t="str">
            <v>Overtime At Double - 3</v>
          </cell>
          <cell r="C15" t="str">
            <v>O</v>
          </cell>
          <cell r="D15">
            <v>0</v>
          </cell>
        </row>
        <row r="16">
          <cell r="A16" t="str">
            <v>DT4</v>
          </cell>
          <cell r="B16" t="str">
            <v>Overtime At Double - 4</v>
          </cell>
          <cell r="C16" t="str">
            <v>O</v>
          </cell>
          <cell r="D16">
            <v>0</v>
          </cell>
        </row>
        <row r="17">
          <cell r="A17" t="str">
            <v>DT6</v>
          </cell>
          <cell r="B17" t="str">
            <v>Overtime At Double - 6</v>
          </cell>
          <cell r="C17" t="str">
            <v>O</v>
          </cell>
          <cell r="D17">
            <v>0</v>
          </cell>
        </row>
        <row r="18">
          <cell r="A18" t="str">
            <v>DT7</v>
          </cell>
          <cell r="B18" t="str">
            <v>Overtime At Double - 7</v>
          </cell>
          <cell r="C18" t="str">
            <v>O</v>
          </cell>
          <cell r="D18">
            <v>0</v>
          </cell>
        </row>
        <row r="19">
          <cell r="A19" t="str">
            <v>HM1</v>
          </cell>
          <cell r="B19" t="str">
            <v>Hazard Materials Overtime</v>
          </cell>
          <cell r="C19" t="str">
            <v>O</v>
          </cell>
          <cell r="D19">
            <v>0</v>
          </cell>
        </row>
        <row r="20">
          <cell r="A20" t="str">
            <v>HM2</v>
          </cell>
          <cell r="B20" t="str">
            <v>Hazard Materials Doubletime</v>
          </cell>
          <cell r="C20" t="str">
            <v>O</v>
          </cell>
          <cell r="D20">
            <v>0</v>
          </cell>
        </row>
        <row r="21">
          <cell r="A21" t="str">
            <v>HPD</v>
          </cell>
          <cell r="B21" t="str">
            <v>High Pay Doubletime</v>
          </cell>
          <cell r="C21" t="str">
            <v>O</v>
          </cell>
          <cell r="D21">
            <v>0</v>
          </cell>
        </row>
        <row r="22">
          <cell r="A22" t="str">
            <v>HPO</v>
          </cell>
          <cell r="B22" t="str">
            <v>High Pay Overtime</v>
          </cell>
          <cell r="C22" t="str">
            <v>O</v>
          </cell>
          <cell r="D22">
            <v>0</v>
          </cell>
        </row>
        <row r="23">
          <cell r="A23" t="str">
            <v>HPY</v>
          </cell>
          <cell r="B23" t="str">
            <v>High Pay Work</v>
          </cell>
          <cell r="C23" t="str">
            <v>O</v>
          </cell>
          <cell r="D23">
            <v>0</v>
          </cell>
        </row>
        <row r="24">
          <cell r="A24" t="str">
            <v>HZ2</v>
          </cell>
          <cell r="B24" t="str">
            <v>Haz Pay Doubletime</v>
          </cell>
          <cell r="C24" t="str">
            <v>O</v>
          </cell>
          <cell r="D24">
            <v>0</v>
          </cell>
        </row>
        <row r="25">
          <cell r="A25" t="str">
            <v>HZD</v>
          </cell>
          <cell r="B25" t="str">
            <v>Hazardous Coord - Strght</v>
          </cell>
          <cell r="C25" t="str">
            <v>O</v>
          </cell>
          <cell r="D25">
            <v>0</v>
          </cell>
        </row>
        <row r="26">
          <cell r="A26" t="str">
            <v>HZM</v>
          </cell>
          <cell r="B26" t="str">
            <v>Hazard Materials Differential</v>
          </cell>
          <cell r="C26" t="str">
            <v>O</v>
          </cell>
          <cell r="D26">
            <v>0</v>
          </cell>
        </row>
        <row r="27">
          <cell r="A27" t="str">
            <v>HZO</v>
          </cell>
          <cell r="B27" t="str">
            <v>Hazard Coord Overtime</v>
          </cell>
          <cell r="C27" t="str">
            <v>O</v>
          </cell>
          <cell r="D27">
            <v>0</v>
          </cell>
        </row>
        <row r="28">
          <cell r="A28" t="str">
            <v>LPD</v>
          </cell>
          <cell r="B28" t="str">
            <v>Lead Pay Doubletime</v>
          </cell>
          <cell r="C28" t="str">
            <v>O</v>
          </cell>
          <cell r="D28">
            <v>0</v>
          </cell>
        </row>
        <row r="29">
          <cell r="A29" t="str">
            <v>LPO</v>
          </cell>
          <cell r="B29" t="str">
            <v>Lead Pay Overtime</v>
          </cell>
          <cell r="C29" t="str">
            <v>O</v>
          </cell>
          <cell r="D29">
            <v>0</v>
          </cell>
        </row>
        <row r="30">
          <cell r="A30" t="str">
            <v>LPR</v>
          </cell>
          <cell r="B30" t="str">
            <v>Lead Pay</v>
          </cell>
          <cell r="C30" t="str">
            <v>O</v>
          </cell>
          <cell r="D30">
            <v>0</v>
          </cell>
        </row>
        <row r="31">
          <cell r="A31" t="str">
            <v>MLS</v>
          </cell>
          <cell r="B31" t="str">
            <v>Meal Allowance</v>
          </cell>
          <cell r="C31" t="str">
            <v>O</v>
          </cell>
          <cell r="D31">
            <v>0</v>
          </cell>
        </row>
        <row r="32">
          <cell r="A32" t="str">
            <v>OP1</v>
          </cell>
          <cell r="B32" t="str">
            <v>Day 6 Retire Base @1.5 -1</v>
          </cell>
          <cell r="C32" t="str">
            <v>O</v>
          </cell>
          <cell r="D32">
            <v>0</v>
          </cell>
        </row>
        <row r="33">
          <cell r="A33" t="str">
            <v>OT2</v>
          </cell>
          <cell r="B33" t="str">
            <v>Overtime At Double</v>
          </cell>
          <cell r="C33" t="str">
            <v>O</v>
          </cell>
          <cell r="D33">
            <v>0</v>
          </cell>
        </row>
        <row r="34">
          <cell r="A34" t="str">
            <v>OTC</v>
          </cell>
          <cell r="B34" t="str">
            <v>Overtime half pay commission</v>
          </cell>
          <cell r="C34" t="str">
            <v>O</v>
          </cell>
          <cell r="D34">
            <v>0</v>
          </cell>
        </row>
        <row r="35">
          <cell r="A35" t="str">
            <v>OTP</v>
          </cell>
          <cell r="B35" t="str">
            <v>Overtime At 1.5</v>
          </cell>
          <cell r="C35" t="str">
            <v>O</v>
          </cell>
          <cell r="D35">
            <v>0</v>
          </cell>
        </row>
        <row r="36">
          <cell r="A36" t="str">
            <v>OV1</v>
          </cell>
          <cell r="B36" t="str">
            <v>Overtime At 1.5</v>
          </cell>
          <cell r="C36" t="str">
            <v>O</v>
          </cell>
          <cell r="D36">
            <v>0</v>
          </cell>
        </row>
        <row r="37">
          <cell r="A37" t="str">
            <v>OV2</v>
          </cell>
          <cell r="B37" t="str">
            <v>Overtime At 1.5 - 2</v>
          </cell>
          <cell r="C37" t="str">
            <v>O</v>
          </cell>
          <cell r="D37">
            <v>0</v>
          </cell>
        </row>
        <row r="38">
          <cell r="A38" t="str">
            <v>OV3</v>
          </cell>
          <cell r="B38" t="str">
            <v>Overtime At 1.5 - 3</v>
          </cell>
          <cell r="C38" t="str">
            <v>O</v>
          </cell>
          <cell r="D38">
            <v>0</v>
          </cell>
        </row>
        <row r="39">
          <cell r="A39" t="str">
            <v>OV4</v>
          </cell>
          <cell r="B39" t="str">
            <v>Overtime At 1.5 - 4</v>
          </cell>
          <cell r="C39" t="str">
            <v>O</v>
          </cell>
          <cell r="D39">
            <v>0</v>
          </cell>
        </row>
        <row r="40">
          <cell r="A40" t="str">
            <v>OV6</v>
          </cell>
          <cell r="B40" t="str">
            <v>Overtime At 1.5 - 6</v>
          </cell>
          <cell r="C40" t="str">
            <v>O</v>
          </cell>
          <cell r="D40">
            <v>0</v>
          </cell>
        </row>
        <row r="41">
          <cell r="A41" t="str">
            <v>PD1</v>
          </cell>
          <cell r="B41" t="str">
            <v>Saturday Premium</v>
          </cell>
          <cell r="C41" t="str">
            <v>O</v>
          </cell>
          <cell r="D41">
            <v>0</v>
          </cell>
        </row>
        <row r="42">
          <cell r="A42" t="str">
            <v>PD2</v>
          </cell>
          <cell r="B42" t="str">
            <v>Sunday Premium Pay</v>
          </cell>
          <cell r="C42" t="str">
            <v>O</v>
          </cell>
          <cell r="D42">
            <v>0</v>
          </cell>
        </row>
        <row r="43">
          <cell r="A43" t="str">
            <v>PO1</v>
          </cell>
          <cell r="B43" t="str">
            <v>Saturday Premium</v>
          </cell>
          <cell r="C43" t="str">
            <v>O</v>
          </cell>
          <cell r="D43">
            <v>0</v>
          </cell>
        </row>
        <row r="44">
          <cell r="A44" t="str">
            <v>PO2</v>
          </cell>
          <cell r="B44" t="str">
            <v>Sunday</v>
          </cell>
          <cell r="C44" t="str">
            <v>O</v>
          </cell>
          <cell r="D44">
            <v>0</v>
          </cell>
        </row>
        <row r="45">
          <cell r="A45" t="str">
            <v>PR1</v>
          </cell>
          <cell r="B45" t="str">
            <v>Saturday - Regular</v>
          </cell>
          <cell r="C45" t="str">
            <v>O</v>
          </cell>
          <cell r="D45">
            <v>0</v>
          </cell>
        </row>
        <row r="46">
          <cell r="A46" t="str">
            <v>PR2</v>
          </cell>
          <cell r="B46" t="str">
            <v>Sunday - Regular</v>
          </cell>
          <cell r="C46" t="str">
            <v>O</v>
          </cell>
          <cell r="D46">
            <v>0</v>
          </cell>
        </row>
        <row r="47">
          <cell r="A47" t="str">
            <v>SH1</v>
          </cell>
          <cell r="B47" t="str">
            <v>Swingshift Differential</v>
          </cell>
          <cell r="C47" t="str">
            <v>O</v>
          </cell>
          <cell r="D47">
            <v>0</v>
          </cell>
        </row>
        <row r="48">
          <cell r="A48" t="str">
            <v>SH2</v>
          </cell>
          <cell r="B48" t="str">
            <v>Graveyard Shift Differentl</v>
          </cell>
          <cell r="C48" t="str">
            <v>O</v>
          </cell>
          <cell r="D48">
            <v>0</v>
          </cell>
        </row>
        <row r="49">
          <cell r="A49" t="str">
            <v>SH3</v>
          </cell>
          <cell r="B49" t="str">
            <v>Swing Differential OT</v>
          </cell>
          <cell r="C49" t="str">
            <v>O</v>
          </cell>
          <cell r="D49">
            <v>0</v>
          </cell>
        </row>
        <row r="50">
          <cell r="A50" t="str">
            <v>SH4</v>
          </cell>
          <cell r="B50" t="str">
            <v>Grave Differential OT</v>
          </cell>
          <cell r="C50" t="str">
            <v>O</v>
          </cell>
          <cell r="D50">
            <v>0</v>
          </cell>
        </row>
        <row r="51">
          <cell r="A51" t="str">
            <v>SH5</v>
          </cell>
          <cell r="B51" t="str">
            <v>Swing Differential DT</v>
          </cell>
          <cell r="C51" t="str">
            <v>O</v>
          </cell>
          <cell r="D51">
            <v>0</v>
          </cell>
        </row>
        <row r="52">
          <cell r="A52" t="str">
            <v>SH6</v>
          </cell>
          <cell r="B52" t="str">
            <v>Grave Differential DT</v>
          </cell>
          <cell r="C52" t="str">
            <v>O</v>
          </cell>
          <cell r="D52">
            <v>0</v>
          </cell>
        </row>
        <row r="53">
          <cell r="A53" t="str">
            <v>SHA</v>
          </cell>
          <cell r="B53" t="str">
            <v>7th Day Swing Diff @2</v>
          </cell>
          <cell r="C53" t="str">
            <v>O</v>
          </cell>
          <cell r="D53">
            <v>0</v>
          </cell>
        </row>
        <row r="54">
          <cell r="A54" t="str">
            <v>SHB</v>
          </cell>
          <cell r="B54" t="str">
            <v>7th Day Grave Diff @2</v>
          </cell>
          <cell r="C54" t="str">
            <v>O</v>
          </cell>
          <cell r="D54">
            <v>0</v>
          </cell>
        </row>
        <row r="55">
          <cell r="A55" t="str">
            <v>STB</v>
          </cell>
          <cell r="B55" t="str">
            <v>Stand By</v>
          </cell>
          <cell r="C55" t="str">
            <v>O</v>
          </cell>
          <cell r="D55">
            <v>0</v>
          </cell>
        </row>
        <row r="56">
          <cell r="A56" t="str">
            <v>CAR</v>
          </cell>
          <cell r="B56" t="str">
            <v>Auto Allowance</v>
          </cell>
          <cell r="C56" t="str">
            <v>R</v>
          </cell>
          <cell r="D56">
            <v>0</v>
          </cell>
        </row>
        <row r="57">
          <cell r="A57" t="str">
            <v>COM</v>
          </cell>
          <cell r="B57" t="str">
            <v>Commissions Earned</v>
          </cell>
          <cell r="C57" t="str">
            <v>R</v>
          </cell>
          <cell r="D57">
            <v>0</v>
          </cell>
        </row>
        <row r="58">
          <cell r="A58" t="str">
            <v>GIL</v>
          </cell>
          <cell r="B58" t="str">
            <v>Gill Ranch Storage</v>
          </cell>
          <cell r="C58" t="str">
            <v>R</v>
          </cell>
          <cell r="D58">
            <v>1</v>
          </cell>
        </row>
        <row r="59">
          <cell r="A59" t="str">
            <v>LMP</v>
          </cell>
          <cell r="B59" t="str">
            <v>Lump Sum</v>
          </cell>
          <cell r="C59" t="str">
            <v>R</v>
          </cell>
          <cell r="D59">
            <v>1</v>
          </cell>
        </row>
        <row r="60">
          <cell r="A60" t="str">
            <v>REG</v>
          </cell>
          <cell r="B60" t="str">
            <v>Regular Pay</v>
          </cell>
          <cell r="C60" t="str">
            <v>R</v>
          </cell>
          <cell r="D60">
            <v>1</v>
          </cell>
        </row>
        <row r="61">
          <cell r="A61" t="str">
            <v>RET</v>
          </cell>
          <cell r="B61" t="str">
            <v>Retroactive Pay Adjust</v>
          </cell>
          <cell r="C61" t="str">
            <v>R</v>
          </cell>
          <cell r="D61">
            <v>1</v>
          </cell>
        </row>
        <row r="62">
          <cell r="A62" t="str">
            <v>RG1</v>
          </cell>
          <cell r="B62" t="str">
            <v>Regular Pay</v>
          </cell>
          <cell r="C62" t="str">
            <v>R</v>
          </cell>
          <cell r="D62">
            <v>1</v>
          </cell>
        </row>
        <row r="63">
          <cell r="A63" t="str">
            <v>RG2</v>
          </cell>
          <cell r="B63" t="str">
            <v>Regular Pay - 2</v>
          </cell>
          <cell r="C63" t="str">
            <v>R</v>
          </cell>
          <cell r="D63">
            <v>1</v>
          </cell>
        </row>
        <row r="64">
          <cell r="A64" t="str">
            <v>RG3</v>
          </cell>
          <cell r="B64" t="str">
            <v>Regular Pay - 3</v>
          </cell>
          <cell r="C64" t="str">
            <v>R</v>
          </cell>
          <cell r="D64">
            <v>1</v>
          </cell>
        </row>
        <row r="65">
          <cell r="A65" t="str">
            <v>RG4</v>
          </cell>
          <cell r="B65" t="str">
            <v>Regular Pay - 4</v>
          </cell>
          <cell r="C65" t="str">
            <v>R</v>
          </cell>
          <cell r="D65">
            <v>1</v>
          </cell>
        </row>
        <row r="66">
          <cell r="A66" t="str">
            <v>RG5</v>
          </cell>
          <cell r="B66" t="str">
            <v>Regular Pay - 5</v>
          </cell>
          <cell r="C66" t="str">
            <v>R</v>
          </cell>
          <cell r="D66">
            <v>1</v>
          </cell>
        </row>
        <row r="67">
          <cell r="A67" t="str">
            <v>RG6</v>
          </cell>
          <cell r="B67" t="str">
            <v>Regular Pay - 6</v>
          </cell>
          <cell r="C67" t="str">
            <v>R</v>
          </cell>
          <cell r="D67">
            <v>1</v>
          </cell>
        </row>
        <row r="68">
          <cell r="A68" t="str">
            <v>RG7</v>
          </cell>
          <cell r="B68" t="str">
            <v>Regular Pay - 7</v>
          </cell>
          <cell r="C68" t="str">
            <v>R</v>
          </cell>
          <cell r="D68">
            <v>1</v>
          </cell>
        </row>
        <row r="69">
          <cell r="A69" t="str">
            <v>RG8</v>
          </cell>
          <cell r="B69" t="str">
            <v>Regular Pay - 8</v>
          </cell>
          <cell r="C69" t="str">
            <v>R</v>
          </cell>
          <cell r="D69">
            <v>1</v>
          </cell>
        </row>
        <row r="70">
          <cell r="A70" t="str">
            <v>RGA</v>
          </cell>
          <cell r="B70" t="str">
            <v>Regular Pay A</v>
          </cell>
          <cell r="C70" t="str">
            <v>R</v>
          </cell>
          <cell r="D70">
            <v>1</v>
          </cell>
        </row>
        <row r="71">
          <cell r="A71" t="str">
            <v>ACC</v>
          </cell>
          <cell r="B71" t="str">
            <v>One-Time Accrual</v>
          </cell>
          <cell r="C71" t="str">
            <v>V</v>
          </cell>
          <cell r="D71">
            <v>1</v>
          </cell>
        </row>
        <row r="72">
          <cell r="A72" t="str">
            <v>DIS</v>
          </cell>
          <cell r="B72" t="str">
            <v>Sick Pay</v>
          </cell>
          <cell r="C72" t="str">
            <v>V</v>
          </cell>
          <cell r="D72">
            <v>1</v>
          </cell>
        </row>
        <row r="73">
          <cell r="A73" t="str">
            <v>DOT</v>
          </cell>
          <cell r="B73" t="str">
            <v>Donation of Leave Time</v>
          </cell>
          <cell r="C73" t="str">
            <v>V</v>
          </cell>
          <cell r="D73">
            <v>1</v>
          </cell>
        </row>
        <row r="74">
          <cell r="A74" t="str">
            <v>FLH</v>
          </cell>
          <cell r="B74" t="str">
            <v>Floating Holiday</v>
          </cell>
          <cell r="C74" t="str">
            <v>V</v>
          </cell>
          <cell r="D74">
            <v>1</v>
          </cell>
        </row>
        <row r="75">
          <cell r="A75" t="str">
            <v>FNL</v>
          </cell>
          <cell r="B75" t="str">
            <v>Funeral Leave</v>
          </cell>
          <cell r="C75" t="str">
            <v>V</v>
          </cell>
          <cell r="D75">
            <v>1</v>
          </cell>
        </row>
        <row r="76">
          <cell r="A76" t="str">
            <v>HOL</v>
          </cell>
          <cell r="B76" t="str">
            <v>Holiday Pay</v>
          </cell>
          <cell r="C76" t="str">
            <v>V</v>
          </cell>
          <cell r="D76">
            <v>1</v>
          </cell>
        </row>
        <row r="77">
          <cell r="A77" t="str">
            <v>IDS</v>
          </cell>
          <cell r="B77" t="str">
            <v>Industrial Disability</v>
          </cell>
          <cell r="C77" t="str">
            <v>V</v>
          </cell>
          <cell r="D77">
            <v>1</v>
          </cell>
        </row>
        <row r="78">
          <cell r="A78" t="str">
            <v>JUR</v>
          </cell>
          <cell r="B78" t="str">
            <v>Jury Duty</v>
          </cell>
          <cell r="C78" t="str">
            <v>V</v>
          </cell>
          <cell r="D78">
            <v>1</v>
          </cell>
        </row>
        <row r="79">
          <cell r="A79" t="str">
            <v>PTO</v>
          </cell>
          <cell r="B79" t="str">
            <v>Personal Time Off</v>
          </cell>
          <cell r="C79" t="str">
            <v>V</v>
          </cell>
          <cell r="D79">
            <v>1</v>
          </cell>
        </row>
        <row r="80">
          <cell r="A80" t="str">
            <v>PTP</v>
          </cell>
          <cell r="B80" t="str">
            <v>Personal Time - Paid</v>
          </cell>
          <cell r="C80" t="str">
            <v>V</v>
          </cell>
          <cell r="D80">
            <v>0</v>
          </cell>
        </row>
        <row r="81">
          <cell r="A81" t="str">
            <v>SCK</v>
          </cell>
          <cell r="B81" t="str">
            <v>Sick Pay</v>
          </cell>
          <cell r="C81" t="str">
            <v>V</v>
          </cell>
          <cell r="D81">
            <v>1</v>
          </cell>
        </row>
        <row r="82">
          <cell r="A82" t="str">
            <v>STD</v>
          </cell>
          <cell r="B82" t="str">
            <v>Short Term Disability</v>
          </cell>
          <cell r="C82" t="str">
            <v>V</v>
          </cell>
          <cell r="D82">
            <v>1</v>
          </cell>
        </row>
        <row r="83">
          <cell r="A83" t="str">
            <v>VAC</v>
          </cell>
          <cell r="B83" t="str">
            <v>Vacation Pay</v>
          </cell>
          <cell r="C83" t="str">
            <v>V</v>
          </cell>
          <cell r="D83">
            <v>1</v>
          </cell>
        </row>
        <row r="84">
          <cell r="A84" t="str">
            <v>SEV</v>
          </cell>
          <cell r="B84" t="str">
            <v>Severance Pay</v>
          </cell>
          <cell r="C84" t="str">
            <v>Z</v>
          </cell>
          <cell r="D84">
            <v>0</v>
          </cell>
        </row>
        <row r="85">
          <cell r="A85" t="str">
            <v>SVR</v>
          </cell>
          <cell r="B85" t="str">
            <v>Severance Pay r</v>
          </cell>
          <cell r="C85" t="str">
            <v>Z</v>
          </cell>
          <cell r="D85">
            <v>0</v>
          </cell>
        </row>
        <row r="86">
          <cell r="A86" t="str">
            <v>ADV</v>
          </cell>
          <cell r="B86" t="str">
            <v>Advance</v>
          </cell>
          <cell r="C86" t="str">
            <v>ZZZ</v>
          </cell>
          <cell r="D86">
            <v>0</v>
          </cell>
        </row>
        <row r="87">
          <cell r="A87" t="str">
            <v>BDD</v>
          </cell>
          <cell r="B87" t="str">
            <v>Benefit Allowance DP Dental</v>
          </cell>
          <cell r="C87" t="str">
            <v>ZZZ</v>
          </cell>
          <cell r="D87">
            <v>0</v>
          </cell>
        </row>
        <row r="88">
          <cell r="A88" t="str">
            <v>BDM</v>
          </cell>
          <cell r="B88" t="str">
            <v>Benefit Allowance DP Medical</v>
          </cell>
          <cell r="C88" t="str">
            <v>ZZZ</v>
          </cell>
          <cell r="D88">
            <v>0</v>
          </cell>
        </row>
        <row r="89">
          <cell r="A89" t="str">
            <v>BEN</v>
          </cell>
          <cell r="B89" t="str">
            <v>Benefit Allowance</v>
          </cell>
          <cell r="C89" t="str">
            <v>ZZZ</v>
          </cell>
          <cell r="D89">
            <v>0</v>
          </cell>
        </row>
        <row r="90">
          <cell r="A90" t="str">
            <v>BFD</v>
          </cell>
          <cell r="B90" t="str">
            <v>$100 Cash Gift Gross-Up</v>
          </cell>
          <cell r="C90" t="str">
            <v>ZZZ</v>
          </cell>
          <cell r="D90">
            <v>0</v>
          </cell>
        </row>
        <row r="91">
          <cell r="A91" t="str">
            <v>BND</v>
          </cell>
          <cell r="B91" t="str">
            <v>Benefit Allowance Dental</v>
          </cell>
          <cell r="C91" t="str">
            <v>ZZZ</v>
          </cell>
          <cell r="D91">
            <v>0</v>
          </cell>
        </row>
        <row r="92">
          <cell r="A92" t="str">
            <v>BNM</v>
          </cell>
          <cell r="B92" t="str">
            <v>Benefit Allowance Medical</v>
          </cell>
          <cell r="C92" t="str">
            <v>ZZZ</v>
          </cell>
          <cell r="D92">
            <v>0</v>
          </cell>
        </row>
        <row r="93">
          <cell r="A93" t="str">
            <v>CEL</v>
          </cell>
          <cell r="B93" t="str">
            <v>Cell Phone Reimbursement</v>
          </cell>
          <cell r="C93" t="str">
            <v>ZZZ</v>
          </cell>
          <cell r="D93">
            <v>0</v>
          </cell>
        </row>
        <row r="94">
          <cell r="A94" t="str">
            <v>EDP</v>
          </cell>
          <cell r="B94" t="str">
            <v>EDC distribution</v>
          </cell>
          <cell r="C94" t="str">
            <v>ZZZ</v>
          </cell>
          <cell r="D94">
            <v>0</v>
          </cell>
        </row>
        <row r="95">
          <cell r="A95" t="str">
            <v>ELC</v>
          </cell>
          <cell r="B95" t="str">
            <v>Electric Steal Award</v>
          </cell>
          <cell r="C95" t="str">
            <v>ZZZ</v>
          </cell>
          <cell r="D95">
            <v>0</v>
          </cell>
        </row>
        <row r="96">
          <cell r="A96" t="str">
            <v>HMO</v>
          </cell>
          <cell r="B96" t="str">
            <v>Dental Insurance Refund</v>
          </cell>
          <cell r="C96" t="str">
            <v>ZZZ</v>
          </cell>
          <cell r="D96">
            <v>0</v>
          </cell>
        </row>
        <row r="97">
          <cell r="A97" t="str">
            <v>LWO</v>
          </cell>
          <cell r="B97" t="str">
            <v>Leave Without Pay</v>
          </cell>
          <cell r="C97" t="str">
            <v>ZZZ</v>
          </cell>
          <cell r="D97">
            <v>0</v>
          </cell>
        </row>
        <row r="98">
          <cell r="A98" t="str">
            <v>MIL</v>
          </cell>
          <cell r="B98" t="str">
            <v>Mileage Reimbursement</v>
          </cell>
          <cell r="C98" t="str">
            <v>ZZZ</v>
          </cell>
          <cell r="D98">
            <v>0</v>
          </cell>
        </row>
        <row r="99">
          <cell r="A99" t="str">
            <v>NCF</v>
          </cell>
          <cell r="B99" t="str">
            <v>Non-Cash Fringe Benefit</v>
          </cell>
          <cell r="C99" t="str">
            <v>ZZZ</v>
          </cell>
          <cell r="D99">
            <v>0</v>
          </cell>
        </row>
        <row r="100">
          <cell r="A100" t="str">
            <v>NQS</v>
          </cell>
          <cell r="B100" t="str">
            <v>Non-Qualified Stock Options</v>
          </cell>
          <cell r="C100" t="str">
            <v>ZZZ</v>
          </cell>
          <cell r="D100">
            <v>0</v>
          </cell>
        </row>
        <row r="101">
          <cell r="A101" t="str">
            <v>RAR</v>
          </cell>
          <cell r="B101" t="str">
            <v>Remote Access Reimbursement</v>
          </cell>
          <cell r="C101" t="str">
            <v>ZZZ</v>
          </cell>
          <cell r="D101">
            <v>0</v>
          </cell>
        </row>
        <row r="102">
          <cell r="A102" t="str">
            <v>UCR</v>
          </cell>
          <cell r="B102" t="str">
            <v>Company Car</v>
          </cell>
          <cell r="C102" t="str">
            <v>ZZZ</v>
          </cell>
          <cell r="D102">
            <v>0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 Normal Accrual"/>
      <sheetName val="Elec Worksheet"/>
      <sheetName val="Gas Normal Accrual"/>
      <sheetName val="Gas Worksheet"/>
    </sheetNames>
    <sheetDataSet>
      <sheetData sheetId="0"/>
      <sheetData sheetId="1">
        <row r="4">
          <cell r="K4">
            <v>1</v>
          </cell>
          <cell r="L4">
            <v>1</v>
          </cell>
          <cell r="M4">
            <v>0.65159999999999996</v>
          </cell>
          <cell r="N4">
            <v>0.34839999999999999</v>
          </cell>
        </row>
        <row r="5">
          <cell r="K5">
            <v>2</v>
          </cell>
          <cell r="L5">
            <v>1</v>
          </cell>
          <cell r="M5">
            <v>0.65654000000000001</v>
          </cell>
          <cell r="N5">
            <v>0.34345999999999999</v>
          </cell>
        </row>
        <row r="6">
          <cell r="K6">
            <v>3</v>
          </cell>
          <cell r="L6">
            <v>1</v>
          </cell>
          <cell r="M6">
            <v>0.67727000000000004</v>
          </cell>
          <cell r="N6">
            <v>0.32273000000000002</v>
          </cell>
        </row>
        <row r="7">
          <cell r="K7">
            <v>4</v>
          </cell>
          <cell r="L7">
            <v>1</v>
          </cell>
          <cell r="M7">
            <v>0.66390000000000005</v>
          </cell>
          <cell r="N7">
            <v>0.33610000000000001</v>
          </cell>
        </row>
        <row r="8">
          <cell r="K8">
            <v>10</v>
          </cell>
          <cell r="L8">
            <v>1</v>
          </cell>
          <cell r="M8">
            <v>0.61280999999999997</v>
          </cell>
          <cell r="N8">
            <v>0.38718999999999998</v>
          </cell>
        </row>
        <row r="9">
          <cell r="K9">
            <v>11</v>
          </cell>
          <cell r="L9">
            <v>1</v>
          </cell>
          <cell r="M9">
            <v>0.64400000000000002</v>
          </cell>
          <cell r="N9">
            <v>0.35599999999999998</v>
          </cell>
        </row>
        <row r="10">
          <cell r="K10">
            <v>12</v>
          </cell>
          <cell r="L10">
            <v>1</v>
          </cell>
          <cell r="M10">
            <v>0.63636999999999999</v>
          </cell>
          <cell r="N10">
            <v>0.36363000000000001</v>
          </cell>
        </row>
        <row r="11">
          <cell r="K11">
            <v>13</v>
          </cell>
          <cell r="L11">
            <v>1</v>
          </cell>
          <cell r="M11">
            <v>0.64139000000000002</v>
          </cell>
          <cell r="N11">
            <v>0.35860999999999998</v>
          </cell>
        </row>
        <row r="12">
          <cell r="K12">
            <v>14</v>
          </cell>
          <cell r="L12">
            <v>1</v>
          </cell>
          <cell r="M12">
            <v>0.63851999999999998</v>
          </cell>
          <cell r="N12">
            <v>0.36148000000000002</v>
          </cell>
        </row>
      </sheetData>
      <sheetData sheetId="2"/>
      <sheetData sheetId="3">
        <row r="7">
          <cell r="B7" t="str">
            <v xml:space="preserve">Injuries and Damages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ColWidth="9.140625" defaultRowHeight="12.75"/>
  <cols>
    <col min="1" max="16384" width="9.140625" style="362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O328"/>
  <sheetViews>
    <sheetView workbookViewId="0"/>
  </sheetViews>
  <sheetFormatPr defaultColWidth="9.140625" defaultRowHeight="11.25" customHeight="1"/>
  <cols>
    <col min="1" max="1" width="8.42578125" style="301" customWidth="1"/>
    <col min="2" max="2" width="26.140625" style="301" customWidth="1"/>
    <col min="3" max="3" width="12.42578125" style="301" customWidth="1"/>
    <col min="4" max="4" width="6.5703125" style="301" customWidth="1"/>
    <col min="5" max="5" width="12.42578125" style="456" customWidth="1"/>
    <col min="6" max="6" width="12.42578125" style="457" customWidth="1"/>
    <col min="7" max="7" width="12.42578125" style="456" customWidth="1"/>
    <col min="8" max="8" width="12.85546875" style="301" bestFit="1" customWidth="1"/>
    <col min="9" max="9" width="12.140625" style="301" bestFit="1" customWidth="1"/>
    <col min="10" max="15" width="9.140625" style="301"/>
    <col min="16" max="16384" width="9.140625" style="7"/>
  </cols>
  <sheetData>
    <row r="1" spans="1:8" ht="16.5" customHeight="1">
      <c r="F1" s="268"/>
    </row>
    <row r="2" spans="1:8" ht="4.5" customHeight="1"/>
    <row r="3" spans="1:8" ht="12">
      <c r="A3" s="1081" t="s">
        <v>112</v>
      </c>
      <c r="B3" s="1081"/>
      <c r="C3" s="1081"/>
      <c r="E3" s="458"/>
      <c r="F3" s="459"/>
      <c r="G3" s="458"/>
    </row>
    <row r="4" spans="1:8" ht="12">
      <c r="A4" s="460" t="s">
        <v>193</v>
      </c>
      <c r="B4" s="460"/>
      <c r="C4" s="460"/>
      <c r="E4" s="461" t="s">
        <v>76</v>
      </c>
      <c r="F4" s="461"/>
      <c r="G4" s="461"/>
    </row>
    <row r="5" spans="1:8" ht="12">
      <c r="A5" s="1081" t="s">
        <v>528</v>
      </c>
      <c r="B5" s="1081"/>
      <c r="C5" s="1081"/>
      <c r="E5" s="461" t="s">
        <v>77</v>
      </c>
      <c r="F5" s="461"/>
      <c r="G5" s="461"/>
    </row>
    <row r="6" spans="1:8" ht="12">
      <c r="A6" s="460" t="s">
        <v>78</v>
      </c>
      <c r="B6" s="460"/>
      <c r="C6" s="460"/>
      <c r="E6" s="462"/>
      <c r="F6" s="463" t="s">
        <v>79</v>
      </c>
      <c r="G6" s="462"/>
    </row>
    <row r="7" spans="1:8" ht="12">
      <c r="A7" s="455" t="s">
        <v>7</v>
      </c>
      <c r="E7" s="458"/>
      <c r="F7" s="464"/>
      <c r="G7" s="458"/>
    </row>
    <row r="8" spans="1:8" ht="12">
      <c r="A8" s="465" t="s">
        <v>16</v>
      </c>
      <c r="B8" s="466" t="s">
        <v>71</v>
      </c>
      <c r="C8" s="466"/>
      <c r="E8" s="467" t="s">
        <v>80</v>
      </c>
      <c r="F8" s="468" t="s">
        <v>81</v>
      </c>
      <c r="G8" s="467" t="s">
        <v>82</v>
      </c>
      <c r="H8" s="8" t="s">
        <v>83</v>
      </c>
    </row>
    <row r="9" spans="1:8" ht="12">
      <c r="A9" s="455"/>
      <c r="B9" s="301" t="s">
        <v>32</v>
      </c>
      <c r="E9" s="469"/>
      <c r="F9" s="464"/>
      <c r="G9" s="469"/>
    </row>
    <row r="10" spans="1:8" ht="12">
      <c r="A10" s="455"/>
      <c r="B10" s="112"/>
      <c r="E10" s="68"/>
      <c r="F10" s="470"/>
      <c r="G10" s="470"/>
    </row>
    <row r="11" spans="1:8" ht="12">
      <c r="A11" s="455"/>
      <c r="B11" s="112"/>
      <c r="E11" s="68"/>
      <c r="F11" s="470"/>
      <c r="G11" s="470"/>
    </row>
    <row r="12" spans="1:8" ht="12">
      <c r="A12" s="455"/>
      <c r="E12" s="469"/>
      <c r="F12" s="464"/>
      <c r="G12" s="464"/>
    </row>
    <row r="13" spans="1:8" ht="5.25" customHeight="1">
      <c r="A13" s="455"/>
      <c r="E13" s="469"/>
      <c r="F13" s="464"/>
      <c r="G13" s="464"/>
    </row>
    <row r="14" spans="1:8" ht="12">
      <c r="A14" s="455"/>
      <c r="E14" s="469"/>
      <c r="F14" s="464"/>
      <c r="G14" s="464"/>
    </row>
    <row r="15" spans="1:8" ht="12">
      <c r="A15" s="455">
        <v>1</v>
      </c>
      <c r="B15" s="301" t="s">
        <v>84</v>
      </c>
      <c r="E15" s="21">
        <f>F15+G15</f>
        <v>156530</v>
      </c>
      <c r="F15" s="349">
        <f>F94</f>
        <v>156530</v>
      </c>
      <c r="G15" s="349">
        <f>G94</f>
        <v>0</v>
      </c>
      <c r="H15" s="471" t="str">
        <f>IF(E15=F15+G15," ","ERROR")</f>
        <v xml:space="preserve"> </v>
      </c>
    </row>
    <row r="16" spans="1:8" ht="12">
      <c r="A16" s="455">
        <v>2</v>
      </c>
      <c r="B16" s="301" t="s">
        <v>85</v>
      </c>
      <c r="E16" s="9">
        <f>F16+G16</f>
        <v>4817</v>
      </c>
      <c r="F16" s="472">
        <f>F99</f>
        <v>4817</v>
      </c>
      <c r="G16" s="472">
        <f>G99</f>
        <v>0</v>
      </c>
      <c r="H16" s="471" t="str">
        <f>IF(E16=F16+G16," ","ERROR")</f>
        <v xml:space="preserve"> </v>
      </c>
    </row>
    <row r="17" spans="1:8" ht="12">
      <c r="A17" s="455">
        <v>3</v>
      </c>
      <c r="B17" s="301" t="s">
        <v>35</v>
      </c>
      <c r="E17" s="473">
        <f>F17+G17</f>
        <v>48647</v>
      </c>
      <c r="F17" s="474">
        <f>F104-F99-1</f>
        <v>48647</v>
      </c>
      <c r="G17" s="474">
        <f>G104-G99</f>
        <v>0</v>
      </c>
      <c r="H17" s="471" t="str">
        <f>IF(E17=F17+G17," ","ERROR")</f>
        <v xml:space="preserve"> </v>
      </c>
    </row>
    <row r="18" spans="1:8" ht="12">
      <c r="A18" s="455">
        <v>4</v>
      </c>
      <c r="B18" s="301" t="s">
        <v>86</v>
      </c>
      <c r="E18" s="9">
        <f>SUM(E15:E17)</f>
        <v>209994</v>
      </c>
      <c r="F18" s="9">
        <f>SUM(F15:F17)</f>
        <v>209994</v>
      </c>
      <c r="G18" s="9">
        <f>SUM(G15:G17)</f>
        <v>0</v>
      </c>
      <c r="H18" s="471" t="str">
        <f>IF(E18=F18+G18," ","ERROR")</f>
        <v xml:space="preserve"> </v>
      </c>
    </row>
    <row r="19" spans="1:8" ht="12">
      <c r="A19" s="455"/>
      <c r="E19" s="9"/>
      <c r="F19" s="9"/>
      <c r="G19" s="9"/>
      <c r="H19" s="471"/>
    </row>
    <row r="20" spans="1:8" ht="12">
      <c r="A20" s="455"/>
      <c r="B20" s="301" t="s">
        <v>37</v>
      </c>
      <c r="E20" s="9"/>
      <c r="F20" s="9"/>
      <c r="G20" s="9"/>
      <c r="H20" s="471"/>
    </row>
    <row r="21" spans="1:8" ht="12">
      <c r="A21" s="455"/>
      <c r="B21" s="301" t="s">
        <v>196</v>
      </c>
      <c r="E21" s="9"/>
      <c r="F21" s="472"/>
      <c r="G21" s="472"/>
      <c r="H21" s="475" t="str">
        <f>IF(E21=F21+G21," ","ERROR")</f>
        <v xml:space="preserve"> </v>
      </c>
    </row>
    <row r="22" spans="1:8" ht="12">
      <c r="A22" s="455">
        <v>5</v>
      </c>
      <c r="B22" s="301" t="s">
        <v>87</v>
      </c>
      <c r="E22" s="9">
        <f>F22+G22</f>
        <v>96285</v>
      </c>
      <c r="F22" s="472">
        <f>F108</f>
        <v>96285</v>
      </c>
      <c r="G22" s="472">
        <f>G108</f>
        <v>0</v>
      </c>
      <c r="H22" s="471" t="str">
        <f>IF(E22=F22+G22," ","ERROR")</f>
        <v xml:space="preserve"> </v>
      </c>
    </row>
    <row r="23" spans="1:8" ht="12">
      <c r="A23" s="455">
        <v>6</v>
      </c>
      <c r="B23" s="301" t="s">
        <v>88</v>
      </c>
      <c r="E23" s="9">
        <f>F23+G23</f>
        <v>762</v>
      </c>
      <c r="F23" s="472">
        <f>F111+F112</f>
        <v>762</v>
      </c>
      <c r="G23" s="472">
        <f>G110+G111+G112</f>
        <v>0</v>
      </c>
      <c r="H23" s="471" t="str">
        <f>IF(E23=F23+G23," ","ERROR")</f>
        <v xml:space="preserve"> </v>
      </c>
    </row>
    <row r="24" spans="1:8" ht="12">
      <c r="A24" s="455">
        <v>7</v>
      </c>
      <c r="B24" s="301" t="s">
        <v>89</v>
      </c>
      <c r="E24" s="473">
        <f>F24+G24</f>
        <v>-6010</v>
      </c>
      <c r="F24" s="474">
        <f>F109+F110</f>
        <v>-6010</v>
      </c>
      <c r="G24" s="474">
        <f>G109</f>
        <v>0</v>
      </c>
      <c r="H24" s="471" t="str">
        <f>IF(E24=F24+G24," ","ERROR")</f>
        <v xml:space="preserve"> </v>
      </c>
    </row>
    <row r="25" spans="1:8" ht="12">
      <c r="A25" s="455">
        <v>8</v>
      </c>
      <c r="B25" s="301" t="s">
        <v>90</v>
      </c>
      <c r="E25" s="9">
        <f>SUM(E22:E24)</f>
        <v>91037</v>
      </c>
      <c r="F25" s="9">
        <f>SUM(F22:F24)</f>
        <v>91037</v>
      </c>
      <c r="G25" s="9">
        <f>SUM(G22:G24)</f>
        <v>0</v>
      </c>
      <c r="H25" s="471" t="str">
        <f>IF(E25=F25+G25," ","ERROR")</f>
        <v xml:space="preserve"> </v>
      </c>
    </row>
    <row r="26" spans="1:8" ht="12">
      <c r="A26" s="455"/>
      <c r="E26" s="9"/>
      <c r="F26" s="9"/>
      <c r="G26" s="9"/>
      <c r="H26" s="471"/>
    </row>
    <row r="27" spans="1:8" ht="12">
      <c r="A27" s="455"/>
      <c r="B27" s="301" t="s">
        <v>42</v>
      </c>
      <c r="E27" s="9"/>
      <c r="F27" s="9"/>
      <c r="G27" s="9"/>
      <c r="H27" s="471"/>
    </row>
    <row r="28" spans="1:8" ht="12">
      <c r="A28" s="455">
        <v>9</v>
      </c>
      <c r="B28" s="301" t="s">
        <v>91</v>
      </c>
      <c r="E28" s="9">
        <f>F28+G28</f>
        <v>1957</v>
      </c>
      <c r="F28" s="472">
        <f>F119+1</f>
        <v>1957</v>
      </c>
      <c r="G28" s="472">
        <f>G119</f>
        <v>0</v>
      </c>
      <c r="H28" s="471" t="str">
        <f>IF(E28=F28+G28," ","ERROR")</f>
        <v xml:space="preserve"> </v>
      </c>
    </row>
    <row r="29" spans="1:8" ht="12">
      <c r="A29" s="455">
        <v>10</v>
      </c>
      <c r="B29" s="301" t="s">
        <v>92</v>
      </c>
      <c r="E29" s="9">
        <f>F29+G29</f>
        <v>467</v>
      </c>
      <c r="F29" s="472">
        <f>F121+F122</f>
        <v>467</v>
      </c>
      <c r="G29" s="472">
        <f>G121+G122</f>
        <v>0</v>
      </c>
      <c r="H29" s="471" t="str">
        <f>IF(E29=F29+G29," ","ERROR")</f>
        <v xml:space="preserve"> </v>
      </c>
    </row>
    <row r="30" spans="1:8" ht="12">
      <c r="A30" s="455">
        <v>11</v>
      </c>
      <c r="B30" s="301" t="s">
        <v>93</v>
      </c>
      <c r="E30" s="473">
        <f>F30+G30</f>
        <v>187</v>
      </c>
      <c r="F30" s="474">
        <f>F123</f>
        <v>187</v>
      </c>
      <c r="G30" s="474">
        <f>G123</f>
        <v>0</v>
      </c>
      <c r="H30" s="471" t="str">
        <f>IF(E30=F30+G30," ","ERROR")</f>
        <v xml:space="preserve"> </v>
      </c>
    </row>
    <row r="31" spans="1:8" ht="12">
      <c r="A31" s="116">
        <v>12</v>
      </c>
      <c r="B31" s="301" t="s">
        <v>94</v>
      </c>
      <c r="E31" s="9">
        <f>SUM(E28:E30)</f>
        <v>2611</v>
      </c>
      <c r="F31" s="472">
        <f>SUM(F28:F30)</f>
        <v>2611</v>
      </c>
      <c r="G31" s="472">
        <f>SUM(G28:G30)</f>
        <v>0</v>
      </c>
      <c r="H31" s="471" t="str">
        <f>IF(E31=F31+G31," ","ERROR")</f>
        <v xml:space="preserve"> </v>
      </c>
    </row>
    <row r="32" spans="1:8" ht="12">
      <c r="A32" s="455"/>
      <c r="E32" s="9"/>
      <c r="F32" s="472"/>
      <c r="G32" s="472"/>
      <c r="H32" s="471"/>
    </row>
    <row r="33" spans="1:10" ht="12">
      <c r="A33" s="455"/>
      <c r="B33" s="301" t="s">
        <v>46</v>
      </c>
      <c r="E33" s="9"/>
      <c r="F33" s="472"/>
      <c r="G33" s="472"/>
      <c r="H33" s="471"/>
    </row>
    <row r="34" spans="1:10" ht="12">
      <c r="A34" s="455">
        <v>13</v>
      </c>
      <c r="B34" s="301" t="s">
        <v>91</v>
      </c>
      <c r="E34" s="9">
        <f>F34+G34</f>
        <v>12281</v>
      </c>
      <c r="F34" s="472">
        <f>F150</f>
        <v>12281</v>
      </c>
      <c r="G34" s="472">
        <f>G150</f>
        <v>0</v>
      </c>
      <c r="H34" s="471" t="str">
        <f t="shared" ref="H34:H41" si="0">IF(E34=F34+G34," ","ERROR")</f>
        <v xml:space="preserve"> </v>
      </c>
    </row>
    <row r="35" spans="1:10" ht="12">
      <c r="A35" s="455">
        <v>14</v>
      </c>
      <c r="B35" s="301" t="s">
        <v>92</v>
      </c>
      <c r="E35" s="9">
        <f>F35+G35</f>
        <v>14391</v>
      </c>
      <c r="F35" s="472">
        <f>F152</f>
        <v>14391</v>
      </c>
      <c r="G35" s="472">
        <f>G152</f>
        <v>0</v>
      </c>
      <c r="H35" s="471" t="str">
        <f t="shared" si="0"/>
        <v xml:space="preserve"> </v>
      </c>
    </row>
    <row r="36" spans="1:10" ht="12">
      <c r="A36" s="455">
        <v>15</v>
      </c>
      <c r="B36" s="301" t="s">
        <v>93</v>
      </c>
      <c r="E36" s="473">
        <f>F36+G36</f>
        <v>14862</v>
      </c>
      <c r="F36" s="474">
        <f>F153</f>
        <v>14862</v>
      </c>
      <c r="G36" s="474">
        <f>G153</f>
        <v>0</v>
      </c>
      <c r="H36" s="471" t="str">
        <f t="shared" si="0"/>
        <v xml:space="preserve"> </v>
      </c>
    </row>
    <row r="37" spans="1:10" ht="12" customHeight="1">
      <c r="A37" s="455">
        <v>16</v>
      </c>
      <c r="B37" s="301" t="s">
        <v>95</v>
      </c>
      <c r="E37" s="9">
        <f>SUM(E34:E36)</f>
        <v>41534</v>
      </c>
      <c r="F37" s="9">
        <f>SUM(F34:F36)</f>
        <v>41534</v>
      </c>
      <c r="G37" s="9">
        <f>SUM(G34:G36)</f>
        <v>0</v>
      </c>
      <c r="H37" s="471" t="str">
        <f t="shared" si="0"/>
        <v xml:space="preserve"> </v>
      </c>
    </row>
    <row r="38" spans="1:10" ht="12" customHeight="1">
      <c r="A38" s="455"/>
      <c r="E38" s="9"/>
      <c r="F38" s="9"/>
      <c r="G38" s="9"/>
      <c r="H38" s="471"/>
    </row>
    <row r="39" spans="1:10" ht="12" customHeight="1">
      <c r="A39" s="455">
        <v>17</v>
      </c>
      <c r="B39" s="301" t="s">
        <v>48</v>
      </c>
      <c r="E39" s="9">
        <f>F39+G39</f>
        <v>4562</v>
      </c>
      <c r="F39" s="472">
        <f>F164</f>
        <v>4562</v>
      </c>
      <c r="G39" s="472">
        <f>G164</f>
        <v>0</v>
      </c>
      <c r="H39" s="471" t="str">
        <f t="shared" si="0"/>
        <v xml:space="preserve"> </v>
      </c>
    </row>
    <row r="40" spans="1:10" ht="12">
      <c r="A40" s="455">
        <v>18</v>
      </c>
      <c r="B40" s="301" t="s">
        <v>49</v>
      </c>
      <c r="E40" s="9">
        <f>F40+G40</f>
        <v>9284</v>
      </c>
      <c r="F40" s="472">
        <f>F170</f>
        <v>9284</v>
      </c>
      <c r="G40" s="472">
        <f>G170</f>
        <v>0</v>
      </c>
      <c r="H40" s="471" t="str">
        <f t="shared" si="0"/>
        <v xml:space="preserve"> </v>
      </c>
    </row>
    <row r="41" spans="1:10" ht="12">
      <c r="A41" s="455">
        <v>19</v>
      </c>
      <c r="B41" s="301" t="s">
        <v>96</v>
      </c>
      <c r="E41" s="9">
        <f>F41+G41</f>
        <v>0</v>
      </c>
      <c r="F41" s="472">
        <f>F176</f>
        <v>0</v>
      </c>
      <c r="G41" s="472">
        <f>G176</f>
        <v>0</v>
      </c>
      <c r="H41" s="471" t="str">
        <f t="shared" si="0"/>
        <v xml:space="preserve"> </v>
      </c>
    </row>
    <row r="42" spans="1:10" ht="12">
      <c r="A42" s="455"/>
      <c r="E42" s="9"/>
      <c r="F42" s="472"/>
      <c r="G42" s="472"/>
      <c r="H42" s="471"/>
    </row>
    <row r="43" spans="1:10" ht="12">
      <c r="A43" s="455"/>
      <c r="B43" s="301" t="s">
        <v>97</v>
      </c>
      <c r="E43" s="9"/>
      <c r="F43" s="472"/>
      <c r="G43" s="472"/>
      <c r="H43" s="471"/>
    </row>
    <row r="44" spans="1:10" ht="12">
      <c r="A44" s="455">
        <v>20</v>
      </c>
      <c r="B44" s="301" t="s">
        <v>91</v>
      </c>
      <c r="E44" s="9">
        <f>F44+G44</f>
        <v>20606</v>
      </c>
      <c r="F44" s="472">
        <f>F190-1</f>
        <v>20606</v>
      </c>
      <c r="G44" s="472">
        <f>G190</f>
        <v>0</v>
      </c>
      <c r="H44" s="471" t="str">
        <f>IF(E44=F44+G44," ","ERROR")</f>
        <v xml:space="preserve"> </v>
      </c>
    </row>
    <row r="45" spans="1:10" ht="12">
      <c r="A45" s="455">
        <v>21</v>
      </c>
      <c r="B45" s="301" t="s">
        <v>380</v>
      </c>
      <c r="E45" s="9">
        <f>F45+G45</f>
        <v>12268</v>
      </c>
      <c r="F45" s="472">
        <f>F192+F193+F194+F195</f>
        <v>12268</v>
      </c>
      <c r="G45" s="472">
        <f>G192+G193+G194+G195</f>
        <v>0</v>
      </c>
      <c r="H45" s="471" t="str">
        <f>IF(E45=F45+G45," ","ERROR")</f>
        <v xml:space="preserve"> </v>
      </c>
      <c r="J45" s="9"/>
    </row>
    <row r="46" spans="1:10" ht="12">
      <c r="A46" s="455">
        <v>22</v>
      </c>
      <c r="B46" s="301" t="s">
        <v>378</v>
      </c>
      <c r="E46" s="9">
        <f>F46+G46</f>
        <v>-4848</v>
      </c>
      <c r="F46" s="472">
        <f>SUM(F196:F215)</f>
        <v>-4848</v>
      </c>
      <c r="G46" s="472">
        <f>SUM(G207:G216)</f>
        <v>0</v>
      </c>
      <c r="H46" s="471"/>
      <c r="J46" s="9"/>
    </row>
    <row r="47" spans="1:10" ht="12">
      <c r="A47" s="455">
        <v>23</v>
      </c>
      <c r="B47" s="301" t="s">
        <v>93</v>
      </c>
      <c r="E47" s="473">
        <f>F47+G47</f>
        <v>929</v>
      </c>
      <c r="F47" s="474">
        <f>F216</f>
        <v>929</v>
      </c>
      <c r="G47" s="474">
        <v>0</v>
      </c>
      <c r="H47" s="471" t="str">
        <f>IF(E47=F47+G47," ","ERROR")</f>
        <v xml:space="preserve"> </v>
      </c>
    </row>
    <row r="48" spans="1:10" ht="12">
      <c r="A48" s="455">
        <v>24</v>
      </c>
      <c r="B48" s="301" t="s">
        <v>98</v>
      </c>
      <c r="E48" s="473">
        <f>SUM(E44:E47)</f>
        <v>28955</v>
      </c>
      <c r="F48" s="473">
        <f>SUM(F44:F47)</f>
        <v>28955</v>
      </c>
      <c r="G48" s="473">
        <f>SUM(G44:G47)</f>
        <v>0</v>
      </c>
      <c r="H48" s="471" t="str">
        <f>IF(E48=F48+G48," ","ERROR")</f>
        <v xml:space="preserve"> </v>
      </c>
    </row>
    <row r="49" spans="1:8" ht="12">
      <c r="A49" s="455">
        <v>25</v>
      </c>
      <c r="B49" s="301" t="s">
        <v>53</v>
      </c>
      <c r="E49" s="473">
        <f>E25+E31+E37+E39+E40+E41+E48+E21</f>
        <v>177983</v>
      </c>
      <c r="F49" s="473">
        <f>F25+F31+F37+F39+F40+F41+F48+F21</f>
        <v>177983</v>
      </c>
      <c r="G49" s="473">
        <f>G25+G31+G37+G39+G40+G41+G48+G21</f>
        <v>0</v>
      </c>
      <c r="H49" s="471" t="str">
        <f>IF(E49=F49+G49," ","ERROR")</f>
        <v xml:space="preserve"> </v>
      </c>
    </row>
    <row r="50" spans="1:8" ht="12">
      <c r="A50" s="455"/>
      <c r="E50" s="9"/>
      <c r="F50" s="9"/>
      <c r="G50" s="9"/>
      <c r="H50" s="471"/>
    </row>
    <row r="51" spans="1:8" ht="12">
      <c r="A51" s="455">
        <v>26</v>
      </c>
      <c r="B51" s="301" t="s">
        <v>99</v>
      </c>
      <c r="E51" s="9">
        <f>E18-E49</f>
        <v>32011</v>
      </c>
      <c r="F51" s="9">
        <f>F18-F49</f>
        <v>32011</v>
      </c>
      <c r="G51" s="9">
        <f>G18-G49</f>
        <v>0</v>
      </c>
      <c r="H51" s="471" t="str">
        <f>IF(E51=F51+G51," ","ERROR")</f>
        <v xml:space="preserve"> </v>
      </c>
    </row>
    <row r="52" spans="1:8" ht="12" customHeight="1">
      <c r="A52" s="455"/>
      <c r="E52" s="9"/>
      <c r="F52" s="9"/>
      <c r="G52" s="9"/>
      <c r="H52" s="471"/>
    </row>
    <row r="53" spans="1:8" ht="12" customHeight="1">
      <c r="A53" s="455"/>
      <c r="B53" s="301" t="s">
        <v>100</v>
      </c>
      <c r="E53" s="9"/>
      <c r="F53" s="9"/>
      <c r="G53" s="9"/>
      <c r="H53" s="471"/>
    </row>
    <row r="54" spans="1:8" ht="12">
      <c r="A54" s="455">
        <v>27</v>
      </c>
      <c r="B54" s="476" t="s">
        <v>101</v>
      </c>
      <c r="D54" s="477">
        <v>0.21</v>
      </c>
      <c r="E54" s="9">
        <f>F54+G54</f>
        <v>-3545</v>
      </c>
      <c r="F54" s="472">
        <f>F225</f>
        <v>-3545</v>
      </c>
      <c r="G54" s="472">
        <f>G225</f>
        <v>0</v>
      </c>
      <c r="H54" s="471" t="str">
        <f>IF(E54=F54+G54," ","ERROR")</f>
        <v xml:space="preserve"> </v>
      </c>
    </row>
    <row r="55" spans="1:8" ht="12">
      <c r="A55" s="455">
        <v>28</v>
      </c>
      <c r="B55" s="476" t="s">
        <v>209</v>
      </c>
      <c r="D55" s="477"/>
      <c r="E55" s="9"/>
      <c r="F55" s="472"/>
      <c r="G55" s="472"/>
      <c r="H55" s="471"/>
    </row>
    <row r="56" spans="1:8" ht="12">
      <c r="A56" s="455">
        <v>29</v>
      </c>
      <c r="B56" s="301" t="s">
        <v>102</v>
      </c>
      <c r="E56" s="9">
        <f>F56+G56</f>
        <v>6172</v>
      </c>
      <c r="F56" s="472">
        <f>F226</f>
        <v>6172</v>
      </c>
      <c r="G56" s="472">
        <f>G226</f>
        <v>0</v>
      </c>
      <c r="H56" s="471" t="str">
        <f>IF(E56=F56+G56," ","ERROR")</f>
        <v xml:space="preserve"> </v>
      </c>
    </row>
    <row r="57" spans="1:8" ht="12">
      <c r="A57" s="455">
        <v>30</v>
      </c>
      <c r="B57" s="301" t="s">
        <v>103</v>
      </c>
      <c r="E57" s="473">
        <f>F57+G57</f>
        <v>-2</v>
      </c>
      <c r="F57" s="474">
        <f>F227</f>
        <v>-2</v>
      </c>
      <c r="G57" s="474">
        <f>G227</f>
        <v>0</v>
      </c>
      <c r="H57" s="471" t="str">
        <f>IF(E57=F57+G57," ","ERROR")</f>
        <v xml:space="preserve"> </v>
      </c>
    </row>
    <row r="58" spans="1:8" ht="12">
      <c r="A58" s="455"/>
      <c r="G58" s="457"/>
      <c r="H58" s="471"/>
    </row>
    <row r="59" spans="1:8" ht="12.75" thickBot="1">
      <c r="A59" s="455">
        <v>31</v>
      </c>
      <c r="B59" s="478" t="s">
        <v>59</v>
      </c>
      <c r="E59" s="10">
        <f>E51-(+E54+E56+E57)</f>
        <v>29386</v>
      </c>
      <c r="F59" s="10">
        <f>F51-(F54+F56+F57)</f>
        <v>29386</v>
      </c>
      <c r="G59" s="10">
        <f>G51-(G54+G56+G57)</f>
        <v>0</v>
      </c>
      <c r="H59" s="471" t="str">
        <f>IF(E59=F59+G59," ","ERROR")</f>
        <v xml:space="preserve"> </v>
      </c>
    </row>
    <row r="60" spans="1:8" ht="12.75" thickTop="1">
      <c r="A60" s="455"/>
      <c r="E60" s="464"/>
      <c r="F60" s="464"/>
      <c r="G60" s="464"/>
      <c r="H60" s="471"/>
    </row>
    <row r="61" spans="1:8" ht="12">
      <c r="A61" s="455"/>
      <c r="B61" s="476" t="s">
        <v>104</v>
      </c>
      <c r="G61" s="457"/>
      <c r="H61" s="471"/>
    </row>
    <row r="62" spans="1:8" ht="12">
      <c r="A62" s="455"/>
      <c r="B62" s="476" t="s">
        <v>105</v>
      </c>
      <c r="G62" s="457"/>
      <c r="H62" s="471"/>
    </row>
    <row r="63" spans="1:8" ht="12">
      <c r="A63" s="455">
        <v>32</v>
      </c>
      <c r="B63" s="301" t="s">
        <v>106</v>
      </c>
      <c r="E63" s="21">
        <f>F63+G63</f>
        <v>32352</v>
      </c>
      <c r="F63" s="349">
        <f>F245</f>
        <v>32352</v>
      </c>
      <c r="G63" s="349">
        <f>G245</f>
        <v>0</v>
      </c>
      <c r="H63" s="471" t="str">
        <f t="shared" ref="H63:H76" si="1">IF(E63=F63+G63," ","ERROR")</f>
        <v xml:space="preserve"> </v>
      </c>
    </row>
    <row r="64" spans="1:8" ht="12">
      <c r="A64" s="455">
        <v>33</v>
      </c>
      <c r="B64" s="301" t="s">
        <v>107</v>
      </c>
      <c r="E64" s="9">
        <f>F64+G64</f>
        <v>571039</v>
      </c>
      <c r="F64" s="472">
        <f>F261</f>
        <v>571039</v>
      </c>
      <c r="G64" s="472">
        <f>G261</f>
        <v>0</v>
      </c>
      <c r="H64" s="471" t="str">
        <f t="shared" si="1"/>
        <v xml:space="preserve"> </v>
      </c>
    </row>
    <row r="65" spans="1:8" ht="12">
      <c r="A65" s="455">
        <v>34</v>
      </c>
      <c r="B65" s="301" t="s">
        <v>108</v>
      </c>
      <c r="E65" s="473">
        <f>F65+G65</f>
        <v>158395</v>
      </c>
      <c r="F65" s="474">
        <f>F274+F234</f>
        <v>158395</v>
      </c>
      <c r="G65" s="474">
        <f>G274+G234</f>
        <v>0</v>
      </c>
      <c r="H65" s="471" t="str">
        <f t="shared" si="1"/>
        <v xml:space="preserve"> </v>
      </c>
    </row>
    <row r="66" spans="1:8" ht="12">
      <c r="A66" s="455">
        <v>35</v>
      </c>
      <c r="B66" s="301" t="s">
        <v>109</v>
      </c>
      <c r="E66" s="9">
        <f>SUM(E63:E65)</f>
        <v>761786</v>
      </c>
      <c r="F66" s="472">
        <f>SUM(F63:F65)</f>
        <v>761786</v>
      </c>
      <c r="G66" s="472">
        <f>SUM(G63:G65)</f>
        <v>0</v>
      </c>
      <c r="H66" s="471" t="str">
        <f t="shared" si="1"/>
        <v xml:space="preserve"> </v>
      </c>
    </row>
    <row r="67" spans="1:8" ht="12">
      <c r="A67" s="455"/>
      <c r="E67" s="9"/>
      <c r="F67" s="472"/>
      <c r="G67" s="472"/>
      <c r="H67" s="471"/>
    </row>
    <row r="68" spans="1:8" ht="12">
      <c r="A68" s="455"/>
      <c r="B68" s="301" t="s">
        <v>381</v>
      </c>
      <c r="E68" s="9"/>
      <c r="F68" s="472"/>
      <c r="G68" s="472"/>
      <c r="H68" s="471" t="str">
        <f t="shared" si="1"/>
        <v xml:space="preserve"> </v>
      </c>
    </row>
    <row r="69" spans="1:8" ht="12">
      <c r="A69" s="455">
        <v>36</v>
      </c>
      <c r="B69" s="301" t="s">
        <v>106</v>
      </c>
      <c r="E69" s="9">
        <f>F69+G69</f>
        <v>-12363</v>
      </c>
      <c r="F69" s="472">
        <f>F280+F288</f>
        <v>-12363</v>
      </c>
      <c r="G69" s="472">
        <f>G280+G288</f>
        <v>0</v>
      </c>
      <c r="H69" s="471" t="str">
        <f t="shared" si="1"/>
        <v xml:space="preserve"> </v>
      </c>
    </row>
    <row r="70" spans="1:8" ht="12">
      <c r="A70" s="455">
        <v>37</v>
      </c>
      <c r="B70" s="301" t="s">
        <v>107</v>
      </c>
      <c r="E70" s="9">
        <f>F70+G70</f>
        <v>-161309</v>
      </c>
      <c r="F70" s="472">
        <f>F281</f>
        <v>-161309</v>
      </c>
      <c r="G70" s="472">
        <f>G281</f>
        <v>0</v>
      </c>
      <c r="H70" s="471" t="str">
        <f t="shared" si="1"/>
        <v xml:space="preserve"> </v>
      </c>
    </row>
    <row r="71" spans="1:8" ht="12">
      <c r="A71" s="455">
        <v>38</v>
      </c>
      <c r="B71" s="301" t="s">
        <v>108</v>
      </c>
      <c r="E71" s="473">
        <f>F71+G71</f>
        <v>-52407</v>
      </c>
      <c r="F71" s="474">
        <f>F282+F286+F287+F289</f>
        <v>-52407</v>
      </c>
      <c r="G71" s="474">
        <f>G282+G286+G287+G289</f>
        <v>0</v>
      </c>
      <c r="H71" s="471" t="str">
        <f t="shared" si="1"/>
        <v xml:space="preserve"> </v>
      </c>
    </row>
    <row r="72" spans="1:8" ht="12">
      <c r="A72" s="455">
        <v>39</v>
      </c>
      <c r="B72" s="301" t="s">
        <v>382</v>
      </c>
      <c r="E72" s="479">
        <f>SUM(E69:E71)</f>
        <v>-226079</v>
      </c>
      <c r="F72" s="479">
        <f>SUM(F69:F71)</f>
        <v>-226079</v>
      </c>
      <c r="G72" s="479">
        <f>SUM(G69:G71)</f>
        <v>0</v>
      </c>
      <c r="H72" s="471" t="str">
        <f t="shared" si="1"/>
        <v xml:space="preserve"> </v>
      </c>
    </row>
    <row r="73" spans="1:8" ht="12">
      <c r="A73" s="455">
        <v>40</v>
      </c>
      <c r="B73" s="301" t="s">
        <v>167</v>
      </c>
      <c r="E73" s="9">
        <f>E66+E72</f>
        <v>535707</v>
      </c>
      <c r="F73" s="9">
        <f>F66+F72</f>
        <v>535707</v>
      </c>
      <c r="G73" s="9">
        <f>G66+G72</f>
        <v>0</v>
      </c>
      <c r="H73" s="471"/>
    </row>
    <row r="74" spans="1:8" ht="12">
      <c r="A74" s="455">
        <v>41</v>
      </c>
      <c r="B74" s="476" t="s">
        <v>110</v>
      </c>
      <c r="E74" s="480">
        <f>F74+G74</f>
        <v>-97558</v>
      </c>
      <c r="F74" s="480">
        <f>F302</f>
        <v>-97558</v>
      </c>
      <c r="G74" s="480">
        <f>G302</f>
        <v>0</v>
      </c>
      <c r="H74" s="471" t="str">
        <f t="shared" si="1"/>
        <v xml:space="preserve"> </v>
      </c>
    </row>
    <row r="75" spans="1:8" ht="12">
      <c r="A75" s="455">
        <v>42</v>
      </c>
      <c r="B75" s="156" t="s">
        <v>195</v>
      </c>
      <c r="E75" s="9">
        <f>E73+E74</f>
        <v>438149</v>
      </c>
      <c r="F75" s="9">
        <f>F73+F74</f>
        <v>438149</v>
      </c>
      <c r="G75" s="9">
        <f>G73+G74</f>
        <v>0</v>
      </c>
      <c r="H75" s="471"/>
    </row>
    <row r="76" spans="1:8" ht="12">
      <c r="A76" s="455">
        <v>43</v>
      </c>
      <c r="B76" s="301" t="s">
        <v>66</v>
      </c>
      <c r="E76" s="9">
        <f t="shared" ref="E76:E79" si="2">F76+G76</f>
        <v>11642</v>
      </c>
      <c r="F76" s="9">
        <f>F310+F311+F312-1</f>
        <v>11642</v>
      </c>
      <c r="G76" s="9">
        <f>G319+G320</f>
        <v>0</v>
      </c>
      <c r="H76" s="471" t="str">
        <f t="shared" si="1"/>
        <v xml:space="preserve"> </v>
      </c>
    </row>
    <row r="77" spans="1:8" ht="12">
      <c r="A77" s="455">
        <v>44</v>
      </c>
      <c r="B77" s="476" t="s">
        <v>67</v>
      </c>
      <c r="E77" s="9">
        <f t="shared" si="2"/>
        <v>0</v>
      </c>
      <c r="F77" s="457">
        <v>0</v>
      </c>
      <c r="G77" s="457">
        <f>G308+G309</f>
        <v>0</v>
      </c>
      <c r="H77" s="471" t="str">
        <f>IF(E79=F79+G79," ","ERROR")</f>
        <v xml:space="preserve"> </v>
      </c>
    </row>
    <row r="78" spans="1:8" ht="12">
      <c r="A78" s="455">
        <v>45</v>
      </c>
      <c r="B78" s="476" t="s">
        <v>386</v>
      </c>
      <c r="E78" s="9">
        <f t="shared" si="2"/>
        <v>-5644</v>
      </c>
      <c r="F78" s="457">
        <f>F307+F321+F308+F309+F313+F314+F315+F316+F317+F318+F319-1</f>
        <v>-5644</v>
      </c>
      <c r="G78" s="457">
        <f t="shared" ref="G78:G79" si="3">G309+G310</f>
        <v>0</v>
      </c>
      <c r="H78" s="471"/>
    </row>
    <row r="79" spans="1:8" ht="12">
      <c r="A79" s="455">
        <v>46</v>
      </c>
      <c r="B79" s="301" t="s">
        <v>169</v>
      </c>
      <c r="E79" s="473">
        <f t="shared" si="2"/>
        <v>2649</v>
      </c>
      <c r="F79" s="473">
        <f>F320</f>
        <v>2649</v>
      </c>
      <c r="G79" s="603">
        <f t="shared" si="3"/>
        <v>0</v>
      </c>
      <c r="H79" s="471"/>
    </row>
    <row r="80" spans="1:8" ht="11.25" customHeight="1">
      <c r="G80" s="457"/>
    </row>
    <row r="81" spans="1:10" ht="9" customHeight="1">
      <c r="A81" s="455"/>
      <c r="B81" s="301" t="s">
        <v>111</v>
      </c>
      <c r="G81" s="457"/>
      <c r="H81" s="471"/>
    </row>
    <row r="82" spans="1:10" ht="12.75" thickBot="1">
      <c r="A82" s="455">
        <v>47</v>
      </c>
      <c r="B82" s="478" t="s">
        <v>68</v>
      </c>
      <c r="E82" s="481">
        <f>E75+E76+E79+E77+E78</f>
        <v>446796</v>
      </c>
      <c r="F82" s="481">
        <f>F75+F76+F79+F77+F78</f>
        <v>446796</v>
      </c>
      <c r="G82" s="481">
        <f>G75+G76+G79+G77+G78</f>
        <v>0</v>
      </c>
      <c r="H82" s="471" t="str">
        <f>IF(E82=F82+G82," ","ERROR")</f>
        <v xml:space="preserve"> </v>
      </c>
    </row>
    <row r="83" spans="1:10" ht="11.25" customHeight="1" thickTop="1">
      <c r="E83" s="464"/>
      <c r="F83" s="464"/>
      <c r="G83" s="464"/>
    </row>
    <row r="84" spans="1:10" ht="11.25" customHeight="1">
      <c r="E84" s="6">
        <f>E59/E82</f>
        <v>6.5770508240897418E-2</v>
      </c>
      <c r="F84" s="6">
        <f>F59/F82</f>
        <v>6.5770508240897418E-2</v>
      </c>
      <c r="G84" s="6"/>
    </row>
    <row r="86" spans="1:10" ht="11.25" customHeight="1">
      <c r="A86" s="221"/>
      <c r="B86" s="222" t="s">
        <v>32</v>
      </c>
      <c r="J86" s="321"/>
    </row>
    <row r="87" spans="1:10" ht="11.25" customHeight="1">
      <c r="A87" s="221"/>
      <c r="B87" s="223" t="s">
        <v>210</v>
      </c>
      <c r="J87" s="322"/>
    </row>
    <row r="88" spans="1:10" ht="11.25" customHeight="1">
      <c r="A88" s="224">
        <v>480000</v>
      </c>
      <c r="B88" s="223" t="s">
        <v>211</v>
      </c>
      <c r="F88" s="457">
        <f>ROUND(H88/1000,0)</f>
        <v>106063</v>
      </c>
      <c r="H88" s="68">
        <v>106062634</v>
      </c>
      <c r="I88" s="68"/>
      <c r="J88" s="322"/>
    </row>
    <row r="89" spans="1:10" ht="11.25" customHeight="1">
      <c r="A89" s="224" t="s">
        <v>212</v>
      </c>
      <c r="B89" s="223" t="s">
        <v>213</v>
      </c>
      <c r="F89" s="457">
        <f t="shared" ref="F89:F154" si="4">ROUND(H89/1000,0)</f>
        <v>48507</v>
      </c>
      <c r="H89" s="68">
        <v>48506893</v>
      </c>
      <c r="I89" s="68"/>
      <c r="J89" s="322"/>
    </row>
    <row r="90" spans="1:10" ht="11.25" customHeight="1">
      <c r="A90" s="224" t="s">
        <v>214</v>
      </c>
      <c r="B90" s="223" t="s">
        <v>215</v>
      </c>
      <c r="F90" s="457">
        <f t="shared" si="4"/>
        <v>1520</v>
      </c>
      <c r="H90" s="68">
        <v>1519570</v>
      </c>
      <c r="I90" s="68"/>
      <c r="J90" s="322"/>
    </row>
    <row r="91" spans="1:10" ht="11.25" customHeight="1">
      <c r="A91" s="224">
        <v>481400</v>
      </c>
      <c r="B91" s="223" t="s">
        <v>216</v>
      </c>
      <c r="F91" s="457">
        <f t="shared" si="4"/>
        <v>0</v>
      </c>
      <c r="H91" s="68">
        <v>0</v>
      </c>
      <c r="I91" s="68"/>
      <c r="J91" s="322"/>
    </row>
    <row r="92" spans="1:10" ht="11.25" customHeight="1">
      <c r="A92" s="224">
        <v>484000</v>
      </c>
      <c r="B92" s="223" t="s">
        <v>219</v>
      </c>
      <c r="F92" s="457">
        <f t="shared" si="4"/>
        <v>258</v>
      </c>
      <c r="H92" s="68">
        <v>257515</v>
      </c>
      <c r="I92" s="68"/>
      <c r="J92" s="322"/>
    </row>
    <row r="93" spans="1:10" ht="11.25" customHeight="1">
      <c r="A93" s="221" t="s">
        <v>217</v>
      </c>
      <c r="B93" s="223" t="s">
        <v>218</v>
      </c>
      <c r="F93" s="457">
        <f t="shared" si="4"/>
        <v>183</v>
      </c>
      <c r="H93" s="68">
        <v>183092</v>
      </c>
      <c r="I93" s="68"/>
      <c r="J93" s="322"/>
    </row>
    <row r="94" spans="1:10" ht="11.25" customHeight="1">
      <c r="A94" s="221"/>
      <c r="B94" s="223" t="s">
        <v>220</v>
      </c>
      <c r="F94" s="457">
        <f t="shared" si="4"/>
        <v>156530</v>
      </c>
      <c r="H94" s="68">
        <v>156529704</v>
      </c>
      <c r="I94" s="68"/>
      <c r="J94" s="322"/>
    </row>
    <row r="95" spans="1:10" ht="11.25" customHeight="1">
      <c r="A95" s="221"/>
      <c r="B95" s="223"/>
      <c r="F95" s="457">
        <f t="shared" si="4"/>
        <v>0</v>
      </c>
      <c r="H95" s="68"/>
      <c r="I95" s="68"/>
      <c r="J95" s="322"/>
    </row>
    <row r="96" spans="1:10" ht="11.25" customHeight="1">
      <c r="A96" s="221"/>
      <c r="B96" s="223" t="s">
        <v>221</v>
      </c>
      <c r="F96" s="457">
        <f t="shared" si="4"/>
        <v>0</v>
      </c>
      <c r="H96" s="68"/>
      <c r="I96" s="68"/>
      <c r="J96" s="322"/>
    </row>
    <row r="97" spans="1:10" ht="11.25" customHeight="1">
      <c r="A97" s="225">
        <v>483000</v>
      </c>
      <c r="B97" s="226" t="s">
        <v>222</v>
      </c>
      <c r="F97" s="457">
        <f t="shared" si="4"/>
        <v>40386</v>
      </c>
      <c r="H97" s="68">
        <v>40386473</v>
      </c>
      <c r="I97" s="68"/>
      <c r="J97" s="323"/>
    </row>
    <row r="98" spans="1:10" ht="11.25" customHeight="1">
      <c r="A98" s="224">
        <v>488000</v>
      </c>
      <c r="B98" s="223" t="s">
        <v>223</v>
      </c>
      <c r="F98" s="457">
        <f t="shared" si="4"/>
        <v>2</v>
      </c>
      <c r="H98" s="68">
        <v>1848</v>
      </c>
      <c r="I98" s="68"/>
      <c r="J98" s="322"/>
    </row>
    <row r="99" spans="1:10" ht="11.25" customHeight="1">
      <c r="A99" s="224">
        <v>489300</v>
      </c>
      <c r="B99" s="223" t="s">
        <v>224</v>
      </c>
      <c r="F99" s="457">
        <f t="shared" si="4"/>
        <v>4817</v>
      </c>
      <c r="H99" s="68">
        <v>4816992</v>
      </c>
      <c r="I99" s="68"/>
      <c r="J99" s="322"/>
    </row>
    <row r="100" spans="1:10" ht="11.25" customHeight="1">
      <c r="A100" s="224">
        <v>493000</v>
      </c>
      <c r="B100" s="223" t="s">
        <v>225</v>
      </c>
      <c r="F100" s="457">
        <f t="shared" si="4"/>
        <v>3</v>
      </c>
      <c r="H100" s="68">
        <v>2658</v>
      </c>
      <c r="I100" s="68"/>
      <c r="J100" s="322"/>
    </row>
    <row r="101" spans="1:10" ht="11.25" customHeight="1">
      <c r="A101" s="224">
        <v>495000</v>
      </c>
      <c r="B101" s="223" t="s">
        <v>226</v>
      </c>
      <c r="F101" s="457">
        <f t="shared" si="4"/>
        <v>8257</v>
      </c>
      <c r="H101" s="68">
        <v>8256839</v>
      </c>
      <c r="I101" s="68"/>
      <c r="J101" s="322"/>
    </row>
    <row r="102" spans="1:10" ht="11.25" customHeight="1">
      <c r="A102" s="224">
        <v>496100</v>
      </c>
      <c r="B102" s="223" t="s">
        <v>422</v>
      </c>
      <c r="F102" s="457">
        <f t="shared" si="4"/>
        <v>0</v>
      </c>
      <c r="H102" s="68">
        <v>0</v>
      </c>
      <c r="I102" s="68"/>
      <c r="J102" s="322"/>
    </row>
    <row r="103" spans="1:10" ht="11.25" customHeight="1">
      <c r="A103" s="442">
        <v>496110</v>
      </c>
      <c r="B103" s="322" t="s">
        <v>480</v>
      </c>
      <c r="F103" s="457">
        <f t="shared" si="4"/>
        <v>0</v>
      </c>
      <c r="H103" s="68">
        <v>0</v>
      </c>
      <c r="I103" s="68"/>
      <c r="J103" s="322"/>
    </row>
    <row r="104" spans="1:10" ht="11.25" customHeight="1">
      <c r="A104" s="221"/>
      <c r="B104" s="223" t="s">
        <v>227</v>
      </c>
      <c r="F104" s="457">
        <f t="shared" si="4"/>
        <v>53465</v>
      </c>
      <c r="H104" s="68">
        <v>53464810</v>
      </c>
      <c r="I104" s="68"/>
      <c r="J104" s="322"/>
    </row>
    <row r="105" spans="1:10" ht="11.25" customHeight="1">
      <c r="A105" s="221"/>
      <c r="B105" s="223" t="s">
        <v>228</v>
      </c>
      <c r="F105" s="457">
        <f t="shared" si="4"/>
        <v>209995</v>
      </c>
      <c r="H105" s="68">
        <v>209994514</v>
      </c>
      <c r="I105" s="68"/>
      <c r="J105" s="322"/>
    </row>
    <row r="106" spans="1:10" ht="11.25" customHeight="1">
      <c r="A106" s="221"/>
      <c r="B106" s="223"/>
      <c r="F106" s="457">
        <f t="shared" si="4"/>
        <v>0</v>
      </c>
      <c r="H106" s="68"/>
      <c r="I106" s="68"/>
      <c r="J106" s="322"/>
    </row>
    <row r="107" spans="1:10" ht="11.25" customHeight="1">
      <c r="A107" s="221"/>
      <c r="B107" s="223" t="s">
        <v>229</v>
      </c>
      <c r="F107" s="457">
        <f t="shared" si="4"/>
        <v>0</v>
      </c>
      <c r="H107" s="68"/>
      <c r="I107" s="68"/>
      <c r="J107" s="322"/>
    </row>
    <row r="108" spans="1:10" ht="11.25" customHeight="1">
      <c r="A108" s="227" t="s">
        <v>230</v>
      </c>
      <c r="B108" s="223" t="s">
        <v>38</v>
      </c>
      <c r="F108" s="457">
        <f t="shared" si="4"/>
        <v>96285</v>
      </c>
      <c r="H108" s="68">
        <v>96285232</v>
      </c>
      <c r="I108" s="68"/>
      <c r="J108" s="322"/>
    </row>
    <row r="109" spans="1:10" ht="11.25" customHeight="1">
      <c r="A109" s="224" t="s">
        <v>231</v>
      </c>
      <c r="B109" s="223" t="s">
        <v>232</v>
      </c>
      <c r="F109" s="457">
        <f t="shared" si="4"/>
        <v>-5698</v>
      </c>
      <c r="H109" s="68">
        <v>-5697956</v>
      </c>
      <c r="I109" s="68"/>
      <c r="J109" s="322"/>
    </row>
    <row r="110" spans="1:10" ht="11.25" customHeight="1">
      <c r="A110" s="225">
        <v>811000</v>
      </c>
      <c r="B110" s="226" t="s">
        <v>233</v>
      </c>
      <c r="F110" s="457">
        <f t="shared" si="4"/>
        <v>-312</v>
      </c>
      <c r="H110" s="68">
        <v>-312013</v>
      </c>
      <c r="I110" s="68"/>
      <c r="J110" s="323"/>
    </row>
    <row r="111" spans="1:10" ht="11.25" customHeight="1">
      <c r="A111" s="224">
        <v>813000</v>
      </c>
      <c r="B111" s="223" t="s">
        <v>234</v>
      </c>
      <c r="F111" s="457">
        <f t="shared" si="4"/>
        <v>680</v>
      </c>
      <c r="H111" s="68">
        <v>680229</v>
      </c>
      <c r="I111" s="68"/>
      <c r="J111" s="322"/>
    </row>
    <row r="112" spans="1:10" ht="11.25" customHeight="1">
      <c r="A112" s="224">
        <v>813010</v>
      </c>
      <c r="B112" s="223" t="s">
        <v>235</v>
      </c>
      <c r="F112" s="457">
        <f t="shared" si="4"/>
        <v>82</v>
      </c>
      <c r="H112" s="68">
        <v>81766</v>
      </c>
      <c r="I112" s="68"/>
      <c r="J112" s="322"/>
    </row>
    <row r="113" spans="1:10" ht="11.25" customHeight="1">
      <c r="A113" s="221"/>
      <c r="B113" s="223" t="s">
        <v>236</v>
      </c>
      <c r="F113" s="457">
        <f t="shared" si="4"/>
        <v>91037</v>
      </c>
      <c r="H113" s="68">
        <v>91037258</v>
      </c>
      <c r="I113" s="68"/>
      <c r="J113" s="322"/>
    </row>
    <row r="114" spans="1:10" ht="11.25" customHeight="1">
      <c r="A114" s="221"/>
      <c r="B114" s="223"/>
      <c r="F114" s="457">
        <f t="shared" si="4"/>
        <v>0</v>
      </c>
      <c r="H114" s="68"/>
      <c r="I114" s="68"/>
      <c r="J114" s="322"/>
    </row>
    <row r="115" spans="1:10" ht="11.25" customHeight="1">
      <c r="A115" s="221"/>
      <c r="B115" s="223" t="s">
        <v>237</v>
      </c>
      <c r="F115" s="457">
        <f t="shared" si="4"/>
        <v>0</v>
      </c>
      <c r="H115" s="68"/>
      <c r="I115" s="68"/>
      <c r="J115" s="322"/>
    </row>
    <row r="116" spans="1:10" ht="11.25" customHeight="1">
      <c r="A116" s="224">
        <v>814000</v>
      </c>
      <c r="B116" s="223" t="s">
        <v>238</v>
      </c>
      <c r="F116" s="457">
        <f t="shared" si="4"/>
        <v>4</v>
      </c>
      <c r="H116" s="68">
        <v>3842</v>
      </c>
      <c r="I116" s="68"/>
      <c r="J116" s="322"/>
    </row>
    <row r="117" spans="1:10" ht="11.25" customHeight="1">
      <c r="A117" s="224">
        <v>824000</v>
      </c>
      <c r="B117" s="223" t="s">
        <v>239</v>
      </c>
      <c r="F117" s="457">
        <f t="shared" si="4"/>
        <v>536</v>
      </c>
      <c r="H117" s="68">
        <v>535666</v>
      </c>
      <c r="I117" s="68"/>
      <c r="J117" s="322"/>
    </row>
    <row r="118" spans="1:10" ht="11.25" customHeight="1">
      <c r="A118" s="224">
        <v>837000</v>
      </c>
      <c r="B118" s="223" t="s">
        <v>240</v>
      </c>
      <c r="F118" s="457">
        <f t="shared" si="4"/>
        <v>1417</v>
      </c>
      <c r="H118" s="68">
        <v>1416962</v>
      </c>
      <c r="I118" s="68"/>
      <c r="J118" s="322"/>
    </row>
    <row r="119" spans="1:10" ht="11.25" customHeight="1">
      <c r="A119" s="221"/>
      <c r="B119" s="223" t="s">
        <v>241</v>
      </c>
      <c r="F119" s="457">
        <f t="shared" si="4"/>
        <v>1956</v>
      </c>
      <c r="H119" s="68">
        <v>1956470</v>
      </c>
      <c r="I119" s="68"/>
      <c r="J119" s="322"/>
    </row>
    <row r="120" spans="1:10" ht="11.25" customHeight="1">
      <c r="A120" s="221"/>
      <c r="B120" s="223"/>
      <c r="F120" s="457">
        <f t="shared" si="4"/>
        <v>0</v>
      </c>
      <c r="H120" s="68"/>
      <c r="I120" s="68"/>
      <c r="J120" s="322"/>
    </row>
    <row r="121" spans="1:10" ht="11.25" customHeight="1">
      <c r="A121" s="222"/>
      <c r="B121" s="223" t="s">
        <v>242</v>
      </c>
      <c r="F121" s="457">
        <f t="shared" si="4"/>
        <v>467</v>
      </c>
      <c r="H121" s="68">
        <v>466823</v>
      </c>
      <c r="I121" s="68"/>
      <c r="J121" s="322"/>
    </row>
    <row r="122" spans="1:10" ht="11.25" customHeight="1">
      <c r="A122" s="222"/>
      <c r="B122" s="223" t="s">
        <v>243</v>
      </c>
      <c r="F122" s="457">
        <f t="shared" si="4"/>
        <v>0</v>
      </c>
      <c r="H122" s="68">
        <v>0</v>
      </c>
      <c r="I122" s="68"/>
      <c r="J122" s="322"/>
    </row>
    <row r="123" spans="1:10" ht="11.25" customHeight="1">
      <c r="A123" s="221"/>
      <c r="B123" s="223" t="s">
        <v>244</v>
      </c>
      <c r="F123" s="457">
        <f t="shared" si="4"/>
        <v>187</v>
      </c>
      <c r="H123" s="68">
        <v>187361</v>
      </c>
      <c r="I123" s="68"/>
      <c r="J123" s="322"/>
    </row>
    <row r="124" spans="1:10" ht="11.25" customHeight="1">
      <c r="A124" s="221"/>
      <c r="B124" s="223" t="s">
        <v>245</v>
      </c>
      <c r="F124" s="457">
        <f t="shared" si="4"/>
        <v>654</v>
      </c>
      <c r="H124" s="68">
        <v>654184</v>
      </c>
      <c r="I124" s="68"/>
      <c r="J124" s="322"/>
    </row>
    <row r="125" spans="1:10" ht="11.25" customHeight="1">
      <c r="A125" s="221"/>
      <c r="B125" s="223"/>
      <c r="F125" s="457">
        <f t="shared" si="4"/>
        <v>0</v>
      </c>
      <c r="H125" s="68"/>
      <c r="I125" s="68"/>
      <c r="J125" s="322"/>
    </row>
    <row r="126" spans="1:10" ht="11.25" customHeight="1">
      <c r="A126" s="221"/>
      <c r="B126" s="223" t="s">
        <v>246</v>
      </c>
      <c r="F126" s="457">
        <f t="shared" si="4"/>
        <v>2611</v>
      </c>
      <c r="H126" s="68">
        <v>2610654</v>
      </c>
      <c r="I126" s="68"/>
      <c r="J126" s="322"/>
    </row>
    <row r="127" spans="1:10" ht="11.25" customHeight="1">
      <c r="A127" s="221"/>
      <c r="B127" s="223"/>
      <c r="F127" s="457">
        <f t="shared" si="4"/>
        <v>0</v>
      </c>
      <c r="H127" s="68"/>
      <c r="I127" s="68"/>
      <c r="J127" s="322"/>
    </row>
    <row r="128" spans="1:10" ht="11.25" customHeight="1">
      <c r="A128" s="221"/>
      <c r="B128" s="223" t="s">
        <v>247</v>
      </c>
      <c r="F128" s="457">
        <f t="shared" si="4"/>
        <v>0</v>
      </c>
      <c r="H128" s="68"/>
      <c r="I128" s="68"/>
      <c r="J128" s="322"/>
    </row>
    <row r="129" spans="1:15" ht="11.25" customHeight="1">
      <c r="A129" s="221"/>
      <c r="B129" s="223" t="s">
        <v>248</v>
      </c>
      <c r="F129" s="457">
        <f t="shared" si="4"/>
        <v>0</v>
      </c>
      <c r="H129" s="68"/>
      <c r="I129" s="68"/>
      <c r="J129" s="322"/>
    </row>
    <row r="130" spans="1:15" ht="11.25" customHeight="1">
      <c r="A130" s="224">
        <v>870000</v>
      </c>
      <c r="B130" s="223" t="s">
        <v>238</v>
      </c>
      <c r="F130" s="457">
        <f t="shared" si="4"/>
        <v>1323</v>
      </c>
      <c r="H130" s="68">
        <v>1323242</v>
      </c>
      <c r="I130" s="68"/>
      <c r="J130" s="322"/>
    </row>
    <row r="131" spans="1:15" ht="11.25" customHeight="1">
      <c r="A131" s="224">
        <v>871000</v>
      </c>
      <c r="B131" s="223" t="s">
        <v>249</v>
      </c>
      <c r="F131" s="457">
        <f t="shared" si="4"/>
        <v>0</v>
      </c>
      <c r="H131" s="68">
        <v>0</v>
      </c>
      <c r="I131" s="68"/>
      <c r="J131" s="322"/>
    </row>
    <row r="132" spans="1:15" ht="11.25" customHeight="1">
      <c r="A132" s="224">
        <v>874000</v>
      </c>
      <c r="B132" s="223" t="s">
        <v>250</v>
      </c>
      <c r="F132" s="457">
        <f t="shared" si="4"/>
        <v>3249</v>
      </c>
      <c r="H132" s="68">
        <v>3248789</v>
      </c>
      <c r="I132" s="68"/>
      <c r="J132" s="322"/>
      <c r="N132" s="111"/>
    </row>
    <row r="133" spans="1:15" ht="11.25" customHeight="1" thickBot="1">
      <c r="A133" s="224">
        <v>875000</v>
      </c>
      <c r="B133" s="223" t="s">
        <v>251</v>
      </c>
      <c r="F133" s="457">
        <f t="shared" si="4"/>
        <v>73</v>
      </c>
      <c r="H133" s="68">
        <v>72579</v>
      </c>
      <c r="I133" s="68"/>
      <c r="J133" s="322"/>
      <c r="N133" s="482"/>
      <c r="O133" s="483"/>
    </row>
    <row r="134" spans="1:15" ht="11.25" customHeight="1" thickTop="1">
      <c r="A134" s="224">
        <v>876000</v>
      </c>
      <c r="B134" s="223" t="s">
        <v>252</v>
      </c>
      <c r="F134" s="457">
        <f t="shared" si="4"/>
        <v>3</v>
      </c>
      <c r="H134" s="68">
        <v>3419</v>
      </c>
      <c r="I134" s="68"/>
      <c r="J134" s="322"/>
    </row>
    <row r="135" spans="1:15" ht="11.25" customHeight="1">
      <c r="A135" s="224">
        <v>877000</v>
      </c>
      <c r="B135" s="223" t="s">
        <v>253</v>
      </c>
      <c r="F135" s="457">
        <f t="shared" si="4"/>
        <v>55</v>
      </c>
      <c r="H135" s="68">
        <v>54743</v>
      </c>
      <c r="I135" s="68"/>
      <c r="J135" s="322"/>
    </row>
    <row r="136" spans="1:15" ht="11.25" customHeight="1">
      <c r="A136" s="224">
        <v>878000</v>
      </c>
      <c r="B136" s="223" t="s">
        <v>254</v>
      </c>
      <c r="F136" s="457">
        <f t="shared" si="4"/>
        <v>372</v>
      </c>
      <c r="H136" s="68">
        <v>371842</v>
      </c>
      <c r="I136" s="68"/>
      <c r="J136" s="322"/>
    </row>
    <row r="137" spans="1:15" ht="11.25" customHeight="1">
      <c r="A137" s="224">
        <v>879000</v>
      </c>
      <c r="B137" s="223" t="s">
        <v>255</v>
      </c>
      <c r="F137" s="457">
        <f t="shared" si="4"/>
        <v>974</v>
      </c>
      <c r="H137" s="68">
        <v>974251</v>
      </c>
      <c r="I137" s="68"/>
      <c r="J137" s="322"/>
    </row>
    <row r="138" spans="1:15" ht="11.25" customHeight="1">
      <c r="A138" s="224">
        <v>880000</v>
      </c>
      <c r="B138" s="223" t="s">
        <v>239</v>
      </c>
      <c r="F138" s="457">
        <f t="shared" si="4"/>
        <v>1406</v>
      </c>
      <c r="H138" s="68">
        <v>1405831</v>
      </c>
      <c r="I138" s="68"/>
      <c r="J138" s="322"/>
    </row>
    <row r="139" spans="1:15" ht="11.25" customHeight="1">
      <c r="A139" s="224">
        <v>881000</v>
      </c>
      <c r="B139" s="223" t="s">
        <v>256</v>
      </c>
      <c r="F139" s="457">
        <f t="shared" si="4"/>
        <v>25</v>
      </c>
      <c r="H139" s="68">
        <v>24680</v>
      </c>
      <c r="I139" s="68"/>
      <c r="J139" s="322"/>
    </row>
    <row r="140" spans="1:15" ht="11.25" customHeight="1">
      <c r="A140" s="221"/>
      <c r="B140" s="223"/>
      <c r="F140" s="457">
        <f t="shared" si="4"/>
        <v>0</v>
      </c>
      <c r="H140" s="68"/>
      <c r="I140" s="68"/>
      <c r="J140" s="322"/>
    </row>
    <row r="141" spans="1:15" ht="11.25" customHeight="1">
      <c r="A141" s="221"/>
      <c r="B141" s="223" t="s">
        <v>257</v>
      </c>
      <c r="F141" s="457">
        <f t="shared" si="4"/>
        <v>0</v>
      </c>
      <c r="H141" s="68"/>
      <c r="I141" s="68"/>
      <c r="J141" s="322"/>
    </row>
    <row r="142" spans="1:15" ht="11.25" customHeight="1">
      <c r="A142" s="224">
        <v>885000</v>
      </c>
      <c r="B142" s="223" t="s">
        <v>238</v>
      </c>
      <c r="F142" s="457">
        <f t="shared" si="4"/>
        <v>18</v>
      </c>
      <c r="H142" s="68">
        <v>18121</v>
      </c>
      <c r="I142" s="68"/>
      <c r="J142" s="322"/>
    </row>
    <row r="143" spans="1:15" ht="11.25" customHeight="1">
      <c r="A143" s="224">
        <v>887000</v>
      </c>
      <c r="B143" s="223" t="s">
        <v>258</v>
      </c>
      <c r="F143" s="457">
        <f t="shared" si="4"/>
        <v>1006</v>
      </c>
      <c r="H143" s="68">
        <v>1005986</v>
      </c>
      <c r="I143" s="68"/>
      <c r="J143" s="322"/>
    </row>
    <row r="144" spans="1:15" ht="11.25" customHeight="1">
      <c r="A144" s="224">
        <v>889000</v>
      </c>
      <c r="B144" s="223" t="s">
        <v>251</v>
      </c>
      <c r="F144" s="457">
        <f t="shared" si="4"/>
        <v>208</v>
      </c>
      <c r="H144" s="68">
        <v>208023</v>
      </c>
      <c r="I144" s="68"/>
      <c r="J144" s="322"/>
    </row>
    <row r="145" spans="1:10" ht="11.25" customHeight="1">
      <c r="A145" s="224">
        <v>890000</v>
      </c>
      <c r="B145" s="223" t="s">
        <v>252</v>
      </c>
      <c r="F145" s="457">
        <f t="shared" si="4"/>
        <v>19</v>
      </c>
      <c r="H145" s="68">
        <v>18842</v>
      </c>
      <c r="I145" s="68"/>
      <c r="J145" s="322"/>
    </row>
    <row r="146" spans="1:10" ht="11.25" customHeight="1">
      <c r="A146" s="224">
        <v>891000</v>
      </c>
      <c r="B146" s="223" t="s">
        <v>253</v>
      </c>
      <c r="F146" s="457">
        <f t="shared" si="4"/>
        <v>33</v>
      </c>
      <c r="H146" s="68">
        <v>33295</v>
      </c>
      <c r="I146" s="68"/>
      <c r="J146" s="322"/>
    </row>
    <row r="147" spans="1:10" ht="11.25" customHeight="1">
      <c r="A147" s="224">
        <v>892000</v>
      </c>
      <c r="B147" s="223" t="s">
        <v>259</v>
      </c>
      <c r="F147" s="457">
        <f t="shared" si="4"/>
        <v>1766</v>
      </c>
      <c r="H147" s="68">
        <v>1766369</v>
      </c>
      <c r="I147" s="68"/>
      <c r="J147" s="322"/>
    </row>
    <row r="148" spans="1:10" ht="11.25" customHeight="1">
      <c r="A148" s="224">
        <v>893000</v>
      </c>
      <c r="B148" s="223" t="s">
        <v>260</v>
      </c>
      <c r="F148" s="457">
        <f t="shared" si="4"/>
        <v>1575</v>
      </c>
      <c r="H148" s="68">
        <v>1574633</v>
      </c>
      <c r="I148" s="68"/>
      <c r="J148" s="322"/>
    </row>
    <row r="149" spans="1:10" ht="11.25" customHeight="1">
      <c r="A149" s="224">
        <v>894000</v>
      </c>
      <c r="B149" s="223" t="s">
        <v>240</v>
      </c>
      <c r="F149" s="457">
        <f t="shared" si="4"/>
        <v>177</v>
      </c>
      <c r="H149" s="68">
        <v>176833</v>
      </c>
      <c r="I149" s="68"/>
      <c r="J149" s="322"/>
    </row>
    <row r="150" spans="1:10" ht="11.25" customHeight="1">
      <c r="A150" s="221"/>
      <c r="B150" s="223" t="s">
        <v>261</v>
      </c>
      <c r="F150" s="457">
        <f t="shared" si="4"/>
        <v>12281</v>
      </c>
      <c r="H150" s="68">
        <v>12281478</v>
      </c>
      <c r="I150" s="68"/>
      <c r="J150" s="322"/>
    </row>
    <row r="151" spans="1:10" ht="11.25" customHeight="1">
      <c r="A151" s="221"/>
      <c r="B151" s="223"/>
      <c r="F151" s="457">
        <f t="shared" si="4"/>
        <v>0</v>
      </c>
      <c r="H151" s="68"/>
      <c r="I151" s="68"/>
      <c r="J151" s="322"/>
    </row>
    <row r="152" spans="1:10" ht="11.25" customHeight="1">
      <c r="A152" s="221"/>
      <c r="B152" s="223" t="s">
        <v>262</v>
      </c>
      <c r="F152" s="457">
        <f t="shared" si="4"/>
        <v>14391</v>
      </c>
      <c r="H152" s="68">
        <v>14391065</v>
      </c>
      <c r="I152" s="68"/>
      <c r="J152" s="322"/>
    </row>
    <row r="153" spans="1:10" ht="11.25" customHeight="1">
      <c r="A153" s="221"/>
      <c r="B153" s="223" t="s">
        <v>244</v>
      </c>
      <c r="F153" s="457">
        <f t="shared" si="4"/>
        <v>14862</v>
      </c>
      <c r="H153" s="68">
        <v>14861516</v>
      </c>
      <c r="I153" s="68"/>
      <c r="J153" s="322"/>
    </row>
    <row r="154" spans="1:10" ht="11.25" customHeight="1">
      <c r="A154" s="221"/>
      <c r="B154" s="223" t="s">
        <v>263</v>
      </c>
      <c r="F154" s="457">
        <f t="shared" si="4"/>
        <v>29253</v>
      </c>
      <c r="H154" s="68">
        <v>29252581</v>
      </c>
      <c r="I154" s="68"/>
      <c r="J154" s="322"/>
    </row>
    <row r="155" spans="1:10" ht="11.25" customHeight="1">
      <c r="A155" s="221"/>
      <c r="B155" s="223"/>
      <c r="F155" s="457">
        <f t="shared" ref="F155:F234" si="5">ROUND(H155/1000,0)</f>
        <v>0</v>
      </c>
      <c r="H155" s="68"/>
      <c r="I155" s="68"/>
      <c r="J155" s="322"/>
    </row>
    <row r="156" spans="1:10" ht="11.25" customHeight="1">
      <c r="A156" s="221"/>
      <c r="B156" s="223" t="s">
        <v>264</v>
      </c>
      <c r="F156" s="457">
        <f t="shared" si="5"/>
        <v>41534</v>
      </c>
      <c r="H156" s="68">
        <v>41534059</v>
      </c>
      <c r="I156" s="68"/>
      <c r="J156" s="322"/>
    </row>
    <row r="157" spans="1:10" ht="11.25" customHeight="1">
      <c r="A157" s="221"/>
      <c r="B157" s="223"/>
      <c r="F157" s="457">
        <f t="shared" si="5"/>
        <v>0</v>
      </c>
      <c r="H157" s="68"/>
      <c r="I157" s="68"/>
      <c r="J157" s="322"/>
    </row>
    <row r="158" spans="1:10" ht="11.25" customHeight="1">
      <c r="A158" s="221"/>
      <c r="B158" s="223" t="s">
        <v>265</v>
      </c>
      <c r="F158" s="457">
        <f t="shared" si="5"/>
        <v>0</v>
      </c>
      <c r="H158" s="68"/>
      <c r="I158" s="68"/>
      <c r="J158" s="322"/>
    </row>
    <row r="159" spans="1:10" ht="11.25" customHeight="1">
      <c r="A159" s="224">
        <v>901000</v>
      </c>
      <c r="B159" s="223" t="s">
        <v>266</v>
      </c>
      <c r="F159" s="457">
        <f t="shared" si="5"/>
        <v>77</v>
      </c>
      <c r="H159" s="68">
        <v>76626</v>
      </c>
      <c r="I159" s="68"/>
      <c r="J159" s="322"/>
    </row>
    <row r="160" spans="1:10" ht="11.25" customHeight="1">
      <c r="A160" s="224">
        <v>902000</v>
      </c>
      <c r="B160" s="223" t="s">
        <v>267</v>
      </c>
      <c r="F160" s="457">
        <f t="shared" si="5"/>
        <v>369</v>
      </c>
      <c r="H160" s="68">
        <v>369464</v>
      </c>
      <c r="I160" s="68"/>
      <c r="J160" s="322"/>
    </row>
    <row r="161" spans="1:10" ht="11.25" customHeight="1">
      <c r="A161" s="224" t="s">
        <v>268</v>
      </c>
      <c r="B161" s="223" t="s">
        <v>269</v>
      </c>
      <c r="F161" s="457">
        <f t="shared" si="5"/>
        <v>3047</v>
      </c>
      <c r="H161" s="68">
        <v>3046733</v>
      </c>
      <c r="I161" s="68"/>
      <c r="J161" s="322"/>
    </row>
    <row r="162" spans="1:10" ht="11.25" customHeight="1">
      <c r="A162" s="224">
        <v>904000</v>
      </c>
      <c r="B162" s="223" t="s">
        <v>270</v>
      </c>
      <c r="F162" s="457">
        <f t="shared" si="5"/>
        <v>1020</v>
      </c>
      <c r="H162" s="68">
        <v>1019964</v>
      </c>
      <c r="I162" s="68"/>
      <c r="J162" s="322"/>
    </row>
    <row r="163" spans="1:10" ht="11.25" customHeight="1">
      <c r="A163" s="224">
        <v>905000</v>
      </c>
      <c r="B163" s="223" t="s">
        <v>271</v>
      </c>
      <c r="F163" s="457">
        <f t="shared" si="5"/>
        <v>49</v>
      </c>
      <c r="H163" s="68">
        <v>49082</v>
      </c>
      <c r="I163" s="68"/>
      <c r="J163" s="322"/>
    </row>
    <row r="164" spans="1:10" ht="11.25" customHeight="1">
      <c r="A164" s="221"/>
      <c r="B164" s="223" t="s">
        <v>272</v>
      </c>
      <c r="F164" s="457">
        <f t="shared" si="5"/>
        <v>4562</v>
      </c>
      <c r="H164" s="68">
        <v>4561869</v>
      </c>
      <c r="I164" s="68"/>
      <c r="J164" s="322"/>
    </row>
    <row r="165" spans="1:10" ht="11.25" customHeight="1">
      <c r="A165" s="221"/>
      <c r="B165" s="223"/>
      <c r="F165" s="457">
        <f t="shared" si="5"/>
        <v>0</v>
      </c>
      <c r="H165" s="68"/>
      <c r="I165" s="68"/>
      <c r="J165" s="322"/>
    </row>
    <row r="166" spans="1:10" ht="11.25" customHeight="1">
      <c r="A166" s="221"/>
      <c r="B166" s="223" t="s">
        <v>273</v>
      </c>
      <c r="F166" s="457">
        <f t="shared" si="5"/>
        <v>0</v>
      </c>
      <c r="H166" s="68"/>
      <c r="I166" s="68"/>
      <c r="J166" s="322"/>
    </row>
    <row r="167" spans="1:10" ht="11.25" customHeight="1">
      <c r="A167" s="224" t="s">
        <v>274</v>
      </c>
      <c r="B167" s="223" t="s">
        <v>275</v>
      </c>
      <c r="F167" s="457">
        <f t="shared" si="5"/>
        <v>8789</v>
      </c>
      <c r="H167" s="68">
        <v>8789326</v>
      </c>
      <c r="I167" s="68"/>
      <c r="J167" s="322"/>
    </row>
    <row r="168" spans="1:10" ht="11.25" customHeight="1">
      <c r="A168" s="224">
        <v>909000</v>
      </c>
      <c r="B168" s="223" t="s">
        <v>276</v>
      </c>
      <c r="F168" s="457">
        <f t="shared" si="5"/>
        <v>376</v>
      </c>
      <c r="H168" s="68">
        <v>375768</v>
      </c>
      <c r="I168" s="68"/>
      <c r="J168" s="322"/>
    </row>
    <row r="169" spans="1:10" ht="11.25" customHeight="1">
      <c r="A169" s="224">
        <v>910000</v>
      </c>
      <c r="B169" s="223" t="s">
        <v>277</v>
      </c>
      <c r="F169" s="457">
        <f t="shared" si="5"/>
        <v>119</v>
      </c>
      <c r="H169" s="68">
        <v>118844</v>
      </c>
      <c r="I169" s="68"/>
      <c r="J169" s="322"/>
    </row>
    <row r="170" spans="1:10" ht="11.25" customHeight="1">
      <c r="A170" s="221"/>
      <c r="B170" s="223" t="s">
        <v>278</v>
      </c>
      <c r="F170" s="457">
        <f t="shared" si="5"/>
        <v>9284</v>
      </c>
      <c r="H170" s="68">
        <v>9283938</v>
      </c>
      <c r="I170" s="68"/>
      <c r="J170" s="322"/>
    </row>
    <row r="171" spans="1:10" ht="11.25" customHeight="1">
      <c r="A171" s="221"/>
      <c r="B171" s="223"/>
      <c r="F171" s="457">
        <f t="shared" si="5"/>
        <v>0</v>
      </c>
      <c r="H171" s="68"/>
      <c r="I171" s="68"/>
      <c r="J171" s="322"/>
    </row>
    <row r="172" spans="1:10" ht="11.25" customHeight="1">
      <c r="A172" s="221"/>
      <c r="B172" s="223" t="s">
        <v>279</v>
      </c>
      <c r="F172" s="457">
        <f t="shared" si="5"/>
        <v>0</v>
      </c>
      <c r="H172" s="68"/>
      <c r="I172" s="68"/>
      <c r="J172" s="322"/>
    </row>
    <row r="173" spans="1:10" ht="11.25" customHeight="1">
      <c r="A173" s="224">
        <v>912000</v>
      </c>
      <c r="B173" s="223" t="s">
        <v>280</v>
      </c>
      <c r="F173" s="457">
        <f t="shared" si="5"/>
        <v>0</v>
      </c>
      <c r="H173" s="68">
        <v>0</v>
      </c>
      <c r="I173" s="68"/>
      <c r="J173" s="322"/>
    </row>
    <row r="174" spans="1:10" ht="11.25" customHeight="1">
      <c r="A174" s="224">
        <v>913000</v>
      </c>
      <c r="B174" s="223" t="s">
        <v>276</v>
      </c>
      <c r="F174" s="457">
        <f t="shared" si="5"/>
        <v>0</v>
      </c>
      <c r="H174" s="68">
        <v>0</v>
      </c>
      <c r="I174" s="68"/>
      <c r="J174" s="322"/>
    </row>
    <row r="175" spans="1:10" ht="11.25" customHeight="1">
      <c r="A175" s="224">
        <v>916000</v>
      </c>
      <c r="B175" s="223" t="s">
        <v>281</v>
      </c>
      <c r="F175" s="457">
        <f t="shared" si="5"/>
        <v>0</v>
      </c>
      <c r="H175" s="68">
        <v>0</v>
      </c>
      <c r="I175" s="68"/>
      <c r="J175" s="322"/>
    </row>
    <row r="176" spans="1:10" ht="11.25" customHeight="1">
      <c r="A176" s="221"/>
      <c r="B176" s="223" t="s">
        <v>282</v>
      </c>
      <c r="F176" s="457">
        <f t="shared" si="5"/>
        <v>0</v>
      </c>
      <c r="H176" s="68">
        <v>0</v>
      </c>
      <c r="I176" s="68"/>
      <c r="J176" s="322"/>
    </row>
    <row r="177" spans="1:10" ht="11.25" customHeight="1">
      <c r="A177" s="221"/>
      <c r="B177" s="223"/>
      <c r="F177" s="457">
        <f t="shared" si="5"/>
        <v>0</v>
      </c>
      <c r="H177" s="68"/>
      <c r="I177" s="68"/>
      <c r="J177" s="322"/>
    </row>
    <row r="178" spans="1:10" ht="11.25" customHeight="1">
      <c r="A178" s="221"/>
      <c r="B178" s="223" t="s">
        <v>283</v>
      </c>
      <c r="F178" s="457">
        <f t="shared" si="5"/>
        <v>0</v>
      </c>
      <c r="H178" s="68"/>
      <c r="I178" s="68"/>
      <c r="J178" s="322"/>
    </row>
    <row r="179" spans="1:10" ht="11.25" customHeight="1">
      <c r="A179" s="224">
        <v>920000</v>
      </c>
      <c r="B179" s="223" t="s">
        <v>284</v>
      </c>
      <c r="F179" s="457">
        <f t="shared" si="5"/>
        <v>5743</v>
      </c>
      <c r="H179" s="68">
        <v>5743170</v>
      </c>
      <c r="I179" s="68"/>
      <c r="J179" s="322"/>
    </row>
    <row r="180" spans="1:10" ht="11.25" customHeight="1">
      <c r="A180" s="224">
        <v>921000</v>
      </c>
      <c r="B180" s="223" t="s">
        <v>285</v>
      </c>
      <c r="F180" s="457">
        <f t="shared" si="5"/>
        <v>937</v>
      </c>
      <c r="H180" s="68">
        <v>937411</v>
      </c>
      <c r="I180" s="68"/>
      <c r="J180" s="322"/>
    </row>
    <row r="181" spans="1:10" ht="11.25" customHeight="1">
      <c r="A181" s="224">
        <v>922000</v>
      </c>
      <c r="B181" s="223" t="s">
        <v>286</v>
      </c>
      <c r="F181" s="457">
        <f t="shared" si="5"/>
        <v>-14</v>
      </c>
      <c r="H181" s="68">
        <v>-13700</v>
      </c>
      <c r="I181" s="68"/>
      <c r="J181" s="322"/>
    </row>
    <row r="182" spans="1:10" ht="11.25" customHeight="1">
      <c r="A182" s="224">
        <v>923000</v>
      </c>
      <c r="B182" s="223" t="s">
        <v>287</v>
      </c>
      <c r="F182" s="457">
        <f t="shared" si="5"/>
        <v>2385</v>
      </c>
      <c r="H182" s="68">
        <v>2384745</v>
      </c>
      <c r="I182" s="68"/>
      <c r="J182" s="322"/>
    </row>
    <row r="183" spans="1:10" ht="11.25" customHeight="1">
      <c r="A183" s="224">
        <v>924000</v>
      </c>
      <c r="B183" s="223" t="s">
        <v>288</v>
      </c>
      <c r="F183" s="457">
        <f t="shared" si="5"/>
        <v>338</v>
      </c>
      <c r="H183" s="68">
        <v>338049</v>
      </c>
      <c r="I183" s="68"/>
      <c r="J183" s="322"/>
    </row>
    <row r="184" spans="1:10" ht="11.25" customHeight="1">
      <c r="A184" s="221" t="s">
        <v>289</v>
      </c>
      <c r="B184" s="223" t="s">
        <v>290</v>
      </c>
      <c r="F184" s="457">
        <f t="shared" si="5"/>
        <v>909</v>
      </c>
      <c r="H184" s="68">
        <v>908980</v>
      </c>
      <c r="I184" s="68"/>
      <c r="J184" s="322"/>
    </row>
    <row r="185" spans="1:10" ht="11.25" customHeight="1">
      <c r="A185" s="221" t="s">
        <v>291</v>
      </c>
      <c r="B185" s="223" t="s">
        <v>292</v>
      </c>
      <c r="F185" s="457">
        <f t="shared" si="5"/>
        <v>5872</v>
      </c>
      <c r="H185" s="68">
        <v>5871667</v>
      </c>
      <c r="I185" s="68"/>
      <c r="J185" s="322"/>
    </row>
    <row r="186" spans="1:10" ht="11.25" customHeight="1">
      <c r="A186" s="224">
        <v>928000</v>
      </c>
      <c r="B186" s="223" t="s">
        <v>293</v>
      </c>
      <c r="F186" s="457">
        <f t="shared" si="5"/>
        <v>656</v>
      </c>
      <c r="H186" s="68">
        <v>655528</v>
      </c>
      <c r="I186" s="68"/>
      <c r="J186" s="322"/>
    </row>
    <row r="187" spans="1:10" ht="11.25" customHeight="1">
      <c r="A187" s="224">
        <v>930000</v>
      </c>
      <c r="B187" s="223" t="s">
        <v>294</v>
      </c>
      <c r="F187" s="457">
        <f t="shared" si="5"/>
        <v>906</v>
      </c>
      <c r="H187" s="68">
        <v>905885</v>
      </c>
      <c r="I187" s="68"/>
      <c r="J187" s="322"/>
    </row>
    <row r="188" spans="1:10" ht="11.25" customHeight="1">
      <c r="A188" s="224">
        <v>931000</v>
      </c>
      <c r="B188" s="223" t="s">
        <v>256</v>
      </c>
      <c r="F188" s="457">
        <f t="shared" si="5"/>
        <v>93</v>
      </c>
      <c r="H188" s="68">
        <v>92836</v>
      </c>
      <c r="I188" s="68"/>
      <c r="J188" s="322"/>
    </row>
    <row r="189" spans="1:10" ht="11.25" customHeight="1">
      <c r="A189" s="224">
        <v>935000</v>
      </c>
      <c r="B189" s="223" t="s">
        <v>295</v>
      </c>
      <c r="F189" s="457">
        <f t="shared" si="5"/>
        <v>2782</v>
      </c>
      <c r="H189" s="68">
        <v>2782064</v>
      </c>
      <c r="I189" s="68"/>
      <c r="J189" s="322"/>
    </row>
    <row r="190" spans="1:10" ht="11.25" customHeight="1">
      <c r="A190" s="221"/>
      <c r="B190" s="223" t="s">
        <v>296</v>
      </c>
      <c r="F190" s="457">
        <f t="shared" si="5"/>
        <v>20607</v>
      </c>
      <c r="H190" s="68">
        <v>20606635</v>
      </c>
      <c r="I190" s="68"/>
      <c r="J190" s="322"/>
    </row>
    <row r="191" spans="1:10" ht="11.25" customHeight="1">
      <c r="A191" s="221"/>
      <c r="B191" s="223"/>
      <c r="F191" s="457">
        <f t="shared" si="5"/>
        <v>0</v>
      </c>
      <c r="H191" s="68"/>
      <c r="I191" s="68"/>
      <c r="J191" s="322"/>
    </row>
    <row r="192" spans="1:10" ht="15.75">
      <c r="A192" s="221"/>
      <c r="B192" s="223" t="s">
        <v>297</v>
      </c>
      <c r="F192" s="457">
        <f t="shared" si="5"/>
        <v>5288</v>
      </c>
      <c r="H192" s="68">
        <v>5288496</v>
      </c>
      <c r="I192" s="68"/>
      <c r="J192" s="322"/>
    </row>
    <row r="193" spans="1:10" ht="15.75">
      <c r="A193" s="221"/>
      <c r="B193" s="223" t="s">
        <v>298</v>
      </c>
      <c r="F193" s="457">
        <f t="shared" si="5"/>
        <v>89</v>
      </c>
      <c r="H193" s="68">
        <v>89070</v>
      </c>
      <c r="I193" s="68"/>
      <c r="J193" s="322"/>
    </row>
    <row r="194" spans="1:10" ht="15.75">
      <c r="A194" s="221"/>
      <c r="B194" s="223" t="s">
        <v>299</v>
      </c>
      <c r="F194" s="457">
        <f t="shared" si="5"/>
        <v>6891</v>
      </c>
      <c r="H194" s="68">
        <v>6890962</v>
      </c>
      <c r="I194" s="68"/>
      <c r="J194" s="322"/>
    </row>
    <row r="195" spans="1:10" ht="15.75">
      <c r="A195" s="222"/>
      <c r="B195" s="223" t="s">
        <v>300</v>
      </c>
      <c r="F195" s="457">
        <f t="shared" si="5"/>
        <v>0</v>
      </c>
      <c r="H195" s="68">
        <v>0</v>
      </c>
      <c r="I195" s="68"/>
      <c r="J195" s="322"/>
    </row>
    <row r="196" spans="1:10" ht="15.75">
      <c r="A196" s="324">
        <v>407025</v>
      </c>
      <c r="B196" s="322" t="s">
        <v>301</v>
      </c>
      <c r="F196" s="457">
        <f t="shared" si="5"/>
        <v>0</v>
      </c>
      <c r="H196" s="68">
        <v>0</v>
      </c>
      <c r="I196" s="68"/>
      <c r="J196" s="322"/>
    </row>
    <row r="197" spans="1:10" ht="15.75">
      <c r="A197" s="442">
        <v>407229</v>
      </c>
      <c r="B197" s="322" t="s">
        <v>423</v>
      </c>
      <c r="F197" s="457">
        <f t="shared" si="5"/>
        <v>0</v>
      </c>
      <c r="H197" s="68">
        <v>0</v>
      </c>
      <c r="I197" s="68"/>
      <c r="J197" s="322"/>
    </row>
    <row r="198" spans="1:10" ht="15.75">
      <c r="A198" s="442">
        <v>407230</v>
      </c>
      <c r="B198" s="322" t="s">
        <v>470</v>
      </c>
      <c r="F198" s="457">
        <f t="shared" si="5"/>
        <v>0</v>
      </c>
      <c r="H198" s="68">
        <v>0</v>
      </c>
      <c r="I198" s="68"/>
      <c r="J198" s="322"/>
    </row>
    <row r="199" spans="1:10" ht="15.75">
      <c r="A199" s="442">
        <v>407302</v>
      </c>
      <c r="B199" s="322" t="s">
        <v>471</v>
      </c>
      <c r="F199" s="457">
        <f t="shared" si="5"/>
        <v>2135</v>
      </c>
      <c r="H199" s="68">
        <v>2134643</v>
      </c>
      <c r="I199" s="68"/>
      <c r="J199" s="322"/>
    </row>
    <row r="200" spans="1:10" ht="15.75">
      <c r="A200" s="442">
        <v>407305</v>
      </c>
      <c r="B200" s="322" t="s">
        <v>487</v>
      </c>
      <c r="F200" s="457">
        <f t="shared" si="5"/>
        <v>0</v>
      </c>
      <c r="H200" s="68">
        <v>0</v>
      </c>
      <c r="I200" s="68"/>
      <c r="J200" s="322"/>
    </row>
    <row r="201" spans="1:10" ht="15.75">
      <c r="A201" s="442">
        <v>407311</v>
      </c>
      <c r="B201" s="322" t="s">
        <v>472</v>
      </c>
      <c r="F201" s="457">
        <f t="shared" si="5"/>
        <v>157</v>
      </c>
      <c r="H201" s="68">
        <v>156974</v>
      </c>
      <c r="I201" s="68"/>
      <c r="J201" s="322"/>
    </row>
    <row r="202" spans="1:10" ht="15.75">
      <c r="A202" s="442">
        <v>407314</v>
      </c>
      <c r="B202" s="322" t="s">
        <v>533</v>
      </c>
      <c r="F202" s="457">
        <f t="shared" si="5"/>
        <v>497</v>
      </c>
      <c r="H202" s="68">
        <v>496949</v>
      </c>
      <c r="I202" s="68"/>
      <c r="J202" s="322"/>
    </row>
    <row r="203" spans="1:10" ht="15.75">
      <c r="A203" s="442">
        <v>407319</v>
      </c>
      <c r="B203" s="322" t="s">
        <v>473</v>
      </c>
      <c r="F203" s="457">
        <f t="shared" si="5"/>
        <v>0</v>
      </c>
      <c r="H203" s="68">
        <v>0</v>
      </c>
      <c r="I203" s="68"/>
      <c r="J203" s="322"/>
    </row>
    <row r="204" spans="1:10" ht="15.75">
      <c r="A204" s="442">
        <v>407332</v>
      </c>
      <c r="B204" s="322" t="s">
        <v>474</v>
      </c>
      <c r="F204" s="457">
        <f t="shared" si="5"/>
        <v>251</v>
      </c>
      <c r="H204" s="68">
        <v>251263</v>
      </c>
      <c r="I204" s="68"/>
      <c r="J204" s="322"/>
    </row>
    <row r="205" spans="1:10" ht="15.75">
      <c r="A205" s="442">
        <v>407335</v>
      </c>
      <c r="B205" s="322" t="s">
        <v>302</v>
      </c>
      <c r="F205" s="457">
        <f t="shared" si="5"/>
        <v>0</v>
      </c>
      <c r="H205" s="68">
        <v>0</v>
      </c>
      <c r="I205" s="68"/>
      <c r="J205" s="322"/>
    </row>
    <row r="206" spans="1:10" ht="15.75">
      <c r="A206" s="324" t="s">
        <v>534</v>
      </c>
      <c r="B206" s="322" t="s">
        <v>535</v>
      </c>
      <c r="F206" s="457">
        <f t="shared" si="5"/>
        <v>710</v>
      </c>
      <c r="H206" s="68">
        <v>709979</v>
      </c>
      <c r="I206" s="68"/>
      <c r="J206" s="322"/>
    </row>
    <row r="207" spans="1:10" ht="15.75">
      <c r="A207" s="324" t="s">
        <v>475</v>
      </c>
      <c r="B207" s="322" t="s">
        <v>476</v>
      </c>
      <c r="F207" s="457">
        <f t="shared" si="5"/>
        <v>0</v>
      </c>
      <c r="H207" s="68">
        <v>0</v>
      </c>
      <c r="I207" s="68"/>
      <c r="J207" s="322"/>
    </row>
    <row r="208" spans="1:10" ht="15.75">
      <c r="A208" s="324" t="s">
        <v>536</v>
      </c>
      <c r="B208" s="322" t="s">
        <v>537</v>
      </c>
      <c r="F208" s="457">
        <f t="shared" si="5"/>
        <v>0</v>
      </c>
      <c r="H208" s="68">
        <v>0</v>
      </c>
      <c r="I208" s="68"/>
      <c r="J208" s="322"/>
    </row>
    <row r="209" spans="1:10" ht="15.75">
      <c r="A209" s="324" t="s">
        <v>477</v>
      </c>
      <c r="B209" s="322" t="s">
        <v>478</v>
      </c>
      <c r="F209" s="457">
        <f t="shared" si="5"/>
        <v>0</v>
      </c>
      <c r="H209" s="68">
        <v>0</v>
      </c>
      <c r="I209" s="68"/>
      <c r="J209" s="322"/>
    </row>
    <row r="210" spans="1:10" ht="15.75">
      <c r="A210" s="324" t="s">
        <v>538</v>
      </c>
      <c r="B210" s="322" t="s">
        <v>539</v>
      </c>
      <c r="F210" s="457">
        <f t="shared" si="5"/>
        <v>0</v>
      </c>
      <c r="H210" s="68">
        <v>0</v>
      </c>
      <c r="I210" s="68"/>
      <c r="J210" s="322"/>
    </row>
    <row r="211" spans="1:10" ht="15.75">
      <c r="A211" s="324" t="s">
        <v>303</v>
      </c>
      <c r="B211" s="322" t="s">
        <v>304</v>
      </c>
      <c r="F211" s="457">
        <f t="shared" si="5"/>
        <v>0</v>
      </c>
      <c r="H211" s="68">
        <v>0</v>
      </c>
      <c r="I211" s="68"/>
      <c r="J211" s="322"/>
    </row>
    <row r="212" spans="1:10" ht="15.75">
      <c r="A212" s="324" t="s">
        <v>479</v>
      </c>
      <c r="B212" s="322" t="s">
        <v>488</v>
      </c>
      <c r="F212" s="457">
        <f t="shared" si="5"/>
        <v>-3296</v>
      </c>
      <c r="H212" s="68">
        <v>-3295612</v>
      </c>
      <c r="I212" s="68"/>
      <c r="J212" s="323"/>
    </row>
    <row r="213" spans="1:10" ht="15.75">
      <c r="A213" s="324" t="s">
        <v>540</v>
      </c>
      <c r="B213" s="322" t="s">
        <v>541</v>
      </c>
      <c r="F213" s="457">
        <f t="shared" si="5"/>
        <v>-2549</v>
      </c>
      <c r="H213" s="68">
        <v>-2549455</v>
      </c>
      <c r="I213" s="68"/>
      <c r="J213" s="323"/>
    </row>
    <row r="214" spans="1:10" ht="15.75">
      <c r="A214" s="324" t="s">
        <v>426</v>
      </c>
      <c r="B214" s="322" t="s">
        <v>425</v>
      </c>
      <c r="F214" s="457">
        <f t="shared" si="5"/>
        <v>0</v>
      </c>
      <c r="H214" s="68">
        <v>0</v>
      </c>
      <c r="I214" s="68"/>
      <c r="J214" s="323"/>
    </row>
    <row r="215" spans="1:10" ht="15.75">
      <c r="A215" s="324" t="s">
        <v>542</v>
      </c>
      <c r="B215" s="322" t="s">
        <v>543</v>
      </c>
      <c r="F215" s="457">
        <f t="shared" si="5"/>
        <v>-2753</v>
      </c>
      <c r="H215" s="68">
        <v>-2753246</v>
      </c>
      <c r="I215" s="68"/>
      <c r="J215" s="323"/>
    </row>
    <row r="216" spans="1:10" ht="15.75">
      <c r="A216" s="602"/>
      <c r="B216" s="322" t="s">
        <v>544</v>
      </c>
      <c r="F216" s="457">
        <f t="shared" si="5"/>
        <v>929</v>
      </c>
      <c r="H216" s="68">
        <v>928940</v>
      </c>
      <c r="I216" s="68"/>
      <c r="J216" s="322"/>
    </row>
    <row r="217" spans="1:10" ht="15.75">
      <c r="A217" s="221"/>
      <c r="B217" s="223" t="s">
        <v>305</v>
      </c>
      <c r="F217" s="457">
        <f t="shared" si="5"/>
        <v>8349</v>
      </c>
      <c r="H217" s="68">
        <v>8348963</v>
      </c>
      <c r="I217" s="68"/>
      <c r="J217" s="322"/>
    </row>
    <row r="218" spans="1:10" ht="15.75">
      <c r="A218" s="221"/>
      <c r="B218" s="223"/>
      <c r="F218" s="457">
        <f t="shared" si="5"/>
        <v>0</v>
      </c>
      <c r="H218" s="68"/>
      <c r="I218" s="68"/>
      <c r="J218" s="322"/>
    </row>
    <row r="219" spans="1:10" ht="15.75">
      <c r="A219" s="224"/>
      <c r="B219" s="223" t="s">
        <v>306</v>
      </c>
      <c r="F219" s="457">
        <f t="shared" si="5"/>
        <v>28956</v>
      </c>
      <c r="H219" s="68">
        <v>28955598</v>
      </c>
      <c r="I219" s="68"/>
      <c r="J219" s="322"/>
    </row>
    <row r="220" spans="1:10" ht="15.75">
      <c r="A220" s="224"/>
      <c r="B220" s="223"/>
      <c r="F220" s="457">
        <f t="shared" si="5"/>
        <v>0</v>
      </c>
      <c r="H220" s="68"/>
      <c r="I220" s="68"/>
      <c r="J220" s="322"/>
    </row>
    <row r="221" spans="1:10" ht="15.75">
      <c r="A221" s="224"/>
      <c r="B221" s="223" t="s">
        <v>307</v>
      </c>
      <c r="F221" s="457">
        <f t="shared" si="5"/>
        <v>177983</v>
      </c>
      <c r="H221" s="68">
        <v>177983376</v>
      </c>
      <c r="I221" s="68"/>
      <c r="J221" s="322"/>
    </row>
    <row r="222" spans="1:10" ht="15.75">
      <c r="A222" s="224"/>
      <c r="B222" s="223"/>
      <c r="F222" s="457">
        <f t="shared" si="5"/>
        <v>0</v>
      </c>
      <c r="H222" s="68"/>
      <c r="I222" s="68"/>
      <c r="J222" s="322"/>
    </row>
    <row r="223" spans="1:10" ht="15.75">
      <c r="A223" s="224"/>
      <c r="B223" s="223" t="s">
        <v>308</v>
      </c>
      <c r="F223" s="457">
        <f t="shared" si="5"/>
        <v>32011</v>
      </c>
      <c r="H223" s="68">
        <v>32011138</v>
      </c>
      <c r="I223" s="68"/>
      <c r="J223" s="322"/>
    </row>
    <row r="224" spans="1:10" ht="15.75">
      <c r="A224" s="224"/>
      <c r="B224" s="223"/>
      <c r="F224" s="457">
        <f t="shared" si="5"/>
        <v>0</v>
      </c>
      <c r="H224" s="68"/>
      <c r="I224" s="68"/>
      <c r="J224" s="322"/>
    </row>
    <row r="225" spans="1:10" ht="15.75">
      <c r="A225" s="224"/>
      <c r="B225" s="223" t="s">
        <v>55</v>
      </c>
      <c r="F225" s="457">
        <f t="shared" si="5"/>
        <v>-3545</v>
      </c>
      <c r="H225" s="68">
        <v>-3545492</v>
      </c>
      <c r="I225" s="68"/>
      <c r="J225" s="322"/>
    </row>
    <row r="226" spans="1:10" ht="15.75">
      <c r="A226" s="224"/>
      <c r="B226" s="223" t="s">
        <v>309</v>
      </c>
      <c r="F226" s="457">
        <f t="shared" si="5"/>
        <v>6172</v>
      </c>
      <c r="H226" s="68">
        <v>6171561</v>
      </c>
      <c r="I226" s="68"/>
      <c r="J226" s="322"/>
    </row>
    <row r="227" spans="1:10" ht="15.75">
      <c r="A227" s="224"/>
      <c r="B227" s="223" t="s">
        <v>310</v>
      </c>
      <c r="F227" s="457">
        <f t="shared" si="5"/>
        <v>-2</v>
      </c>
      <c r="H227" s="68">
        <v>-1515</v>
      </c>
      <c r="I227" s="68"/>
      <c r="J227" s="322"/>
    </row>
    <row r="228" spans="1:10" ht="12.75">
      <c r="A228" s="221"/>
      <c r="B228" s="443" t="s">
        <v>311</v>
      </c>
      <c r="C228" s="484"/>
      <c r="D228" s="484"/>
      <c r="E228" s="485"/>
      <c r="F228" s="486">
        <f t="shared" si="5"/>
        <v>29387</v>
      </c>
      <c r="G228" s="485"/>
      <c r="H228" s="487">
        <v>29386584</v>
      </c>
    </row>
    <row r="229" spans="1:10" ht="11.25" customHeight="1">
      <c r="J229" s="325"/>
    </row>
    <row r="230" spans="1:10" ht="11.25" customHeight="1">
      <c r="A230" s="228"/>
      <c r="B230" s="229" t="s">
        <v>105</v>
      </c>
      <c r="J230" s="325"/>
    </row>
    <row r="231" spans="1:10" ht="11.25" customHeight="1">
      <c r="A231" s="228"/>
      <c r="B231" s="229" t="s">
        <v>312</v>
      </c>
      <c r="I231" s="68"/>
      <c r="J231" s="326"/>
    </row>
    <row r="232" spans="1:10" ht="15.75">
      <c r="A232" s="230">
        <v>303000</v>
      </c>
      <c r="B232" s="231" t="s">
        <v>313</v>
      </c>
      <c r="F232" s="457">
        <f t="shared" si="5"/>
        <v>1993</v>
      </c>
      <c r="H232" s="68">
        <v>1993215</v>
      </c>
      <c r="I232" s="68"/>
      <c r="J232" s="325"/>
    </row>
    <row r="233" spans="1:10" ht="15.75">
      <c r="A233" s="232" t="s">
        <v>314</v>
      </c>
      <c r="B233" s="229" t="s">
        <v>315</v>
      </c>
      <c r="F233" s="457">
        <f t="shared" si="5"/>
        <v>46185</v>
      </c>
      <c r="H233" s="68">
        <v>46185175</v>
      </c>
      <c r="I233" s="68"/>
      <c r="J233" s="325"/>
    </row>
    <row r="234" spans="1:10" ht="15.75">
      <c r="A234" s="233"/>
      <c r="B234" s="229" t="s">
        <v>316</v>
      </c>
      <c r="F234" s="457">
        <f t="shared" si="5"/>
        <v>48178</v>
      </c>
      <c r="H234" s="68">
        <v>48178390</v>
      </c>
      <c r="I234" s="68"/>
      <c r="J234" s="325"/>
    </row>
    <row r="235" spans="1:10" ht="15.75">
      <c r="A235" s="233"/>
      <c r="B235" s="229"/>
      <c r="F235" s="457">
        <f t="shared" ref="F235:F300" si="6">ROUND(H235/1000,0)</f>
        <v>0</v>
      </c>
      <c r="H235" s="68"/>
      <c r="I235" s="68"/>
      <c r="J235" s="325"/>
    </row>
    <row r="236" spans="1:10" ht="15.75">
      <c r="A236" s="233"/>
      <c r="B236" s="229" t="s">
        <v>317</v>
      </c>
      <c r="F236" s="457">
        <f t="shared" si="6"/>
        <v>0</v>
      </c>
      <c r="H236" s="68"/>
      <c r="I236" s="68"/>
      <c r="J236" s="325"/>
    </row>
    <row r="237" spans="1:10" ht="15.75">
      <c r="A237" s="234" t="s">
        <v>318</v>
      </c>
      <c r="B237" s="229" t="s">
        <v>319</v>
      </c>
      <c r="F237" s="457">
        <f t="shared" si="6"/>
        <v>922</v>
      </c>
      <c r="H237" s="68">
        <v>922388</v>
      </c>
      <c r="I237" s="68"/>
      <c r="J237" s="325"/>
    </row>
    <row r="238" spans="1:10" ht="15.75">
      <c r="A238" s="234" t="s">
        <v>320</v>
      </c>
      <c r="B238" s="229" t="s">
        <v>321</v>
      </c>
      <c r="F238" s="457">
        <f t="shared" si="6"/>
        <v>1466</v>
      </c>
      <c r="H238" s="68">
        <v>1466052</v>
      </c>
      <c r="I238" s="68"/>
      <c r="J238" s="325"/>
    </row>
    <row r="239" spans="1:10" ht="15.75">
      <c r="A239" s="234" t="s">
        <v>322</v>
      </c>
      <c r="B239" s="229" t="s">
        <v>323</v>
      </c>
      <c r="F239" s="457">
        <f t="shared" si="6"/>
        <v>15668</v>
      </c>
      <c r="H239" s="68">
        <v>15668336</v>
      </c>
      <c r="I239" s="68"/>
      <c r="J239" s="325"/>
    </row>
    <row r="240" spans="1:10" ht="15.75">
      <c r="A240" s="234">
        <v>353000</v>
      </c>
      <c r="B240" s="229" t="s">
        <v>324</v>
      </c>
      <c r="F240" s="457">
        <f t="shared" si="6"/>
        <v>1417</v>
      </c>
      <c r="H240" s="68">
        <v>1417247</v>
      </c>
      <c r="I240" s="68"/>
      <c r="J240" s="325"/>
    </row>
    <row r="241" spans="1:10" ht="15.75">
      <c r="A241" s="234">
        <v>354000</v>
      </c>
      <c r="B241" s="229" t="s">
        <v>325</v>
      </c>
      <c r="F241" s="457">
        <f t="shared" si="6"/>
        <v>10078</v>
      </c>
      <c r="H241" s="68">
        <v>10078139</v>
      </c>
      <c r="I241" s="68"/>
      <c r="J241" s="325"/>
    </row>
    <row r="242" spans="1:10" ht="15.75">
      <c r="A242" s="234">
        <v>355000</v>
      </c>
      <c r="B242" s="229" t="s">
        <v>326</v>
      </c>
      <c r="F242" s="457">
        <f t="shared" si="6"/>
        <v>864</v>
      </c>
      <c r="H242" s="68">
        <v>863670</v>
      </c>
      <c r="I242" s="68"/>
      <c r="J242" s="325"/>
    </row>
    <row r="243" spans="1:10" ht="15.75">
      <c r="A243" s="234">
        <v>356000</v>
      </c>
      <c r="B243" s="229" t="s">
        <v>327</v>
      </c>
      <c r="F243" s="457">
        <f t="shared" si="6"/>
        <v>375</v>
      </c>
      <c r="H243" s="68">
        <v>375113</v>
      </c>
      <c r="I243" s="68"/>
      <c r="J243" s="325"/>
    </row>
    <row r="244" spans="1:10" ht="15.75">
      <c r="A244" s="234">
        <v>357000</v>
      </c>
      <c r="B244" s="229" t="s">
        <v>240</v>
      </c>
      <c r="F244" s="457">
        <f t="shared" si="6"/>
        <v>1561</v>
      </c>
      <c r="H244" s="68">
        <v>1561163</v>
      </c>
      <c r="I244" s="68"/>
      <c r="J244" s="325"/>
    </row>
    <row r="245" spans="1:10" ht="15.75">
      <c r="A245" s="234"/>
      <c r="B245" s="229" t="s">
        <v>328</v>
      </c>
      <c r="F245" s="457">
        <f t="shared" si="6"/>
        <v>32352</v>
      </c>
      <c r="H245" s="68">
        <v>32352108</v>
      </c>
      <c r="I245" s="68"/>
      <c r="J245" s="325"/>
    </row>
    <row r="246" spans="1:10" ht="15.75">
      <c r="A246" s="234"/>
      <c r="B246" s="229"/>
      <c r="F246" s="457">
        <f t="shared" si="6"/>
        <v>0</v>
      </c>
      <c r="H246" s="68"/>
      <c r="I246" s="68"/>
      <c r="J246" s="325"/>
    </row>
    <row r="247" spans="1:10" ht="15.75">
      <c r="A247" s="234"/>
      <c r="B247" s="229" t="s">
        <v>329</v>
      </c>
      <c r="F247" s="457">
        <f t="shared" si="6"/>
        <v>0</v>
      </c>
      <c r="H247" s="68"/>
      <c r="I247" s="68"/>
      <c r="J247" s="325"/>
    </row>
    <row r="248" spans="1:10" ht="15.75">
      <c r="A248" s="234">
        <v>374200</v>
      </c>
      <c r="B248" s="229" t="s">
        <v>319</v>
      </c>
      <c r="F248" s="457">
        <f t="shared" si="6"/>
        <v>64</v>
      </c>
      <c r="H248" s="68">
        <v>63925</v>
      </c>
      <c r="I248" s="68"/>
      <c r="J248" s="325"/>
    </row>
    <row r="249" spans="1:10" ht="15.75">
      <c r="A249" s="234">
        <v>374400</v>
      </c>
      <c r="B249" s="229" t="s">
        <v>319</v>
      </c>
      <c r="F249" s="457">
        <f t="shared" si="6"/>
        <v>483</v>
      </c>
      <c r="H249" s="68">
        <v>483375</v>
      </c>
      <c r="I249" s="68"/>
      <c r="J249" s="325"/>
    </row>
    <row r="250" spans="1:10" ht="15.75">
      <c r="A250" s="234">
        <v>375000</v>
      </c>
      <c r="B250" s="229" t="s">
        <v>321</v>
      </c>
      <c r="F250" s="457">
        <f t="shared" si="6"/>
        <v>855</v>
      </c>
      <c r="H250" s="68">
        <v>854702</v>
      </c>
      <c r="I250" s="68"/>
      <c r="J250" s="327"/>
    </row>
    <row r="251" spans="1:10" ht="15.75">
      <c r="A251" s="234">
        <v>376000</v>
      </c>
      <c r="B251" s="235" t="s">
        <v>258</v>
      </c>
      <c r="F251" s="457">
        <f t="shared" si="6"/>
        <v>277079</v>
      </c>
      <c r="H251" s="68">
        <v>277078964</v>
      </c>
      <c r="I251" s="68"/>
      <c r="J251" s="325"/>
    </row>
    <row r="252" spans="1:10" ht="15.75">
      <c r="A252" s="234">
        <v>378000</v>
      </c>
      <c r="B252" s="229" t="s">
        <v>330</v>
      </c>
      <c r="F252" s="457">
        <f t="shared" si="6"/>
        <v>4409</v>
      </c>
      <c r="H252" s="68">
        <v>4409003</v>
      </c>
      <c r="I252" s="68"/>
      <c r="J252" s="325"/>
    </row>
    <row r="253" spans="1:10" ht="15.75">
      <c r="A253" s="234">
        <v>379000</v>
      </c>
      <c r="B253" s="229" t="s">
        <v>331</v>
      </c>
      <c r="F253" s="457">
        <f t="shared" si="6"/>
        <v>1869</v>
      </c>
      <c r="H253" s="68">
        <v>1869477</v>
      </c>
      <c r="I253" s="68"/>
      <c r="J253" s="325"/>
    </row>
    <row r="254" spans="1:10" ht="15.75">
      <c r="A254" s="234">
        <v>380000</v>
      </c>
      <c r="B254" s="229" t="s">
        <v>259</v>
      </c>
      <c r="F254" s="457">
        <f t="shared" si="6"/>
        <v>207146</v>
      </c>
      <c r="H254" s="68">
        <v>207145547</v>
      </c>
      <c r="I254" s="68"/>
      <c r="J254" s="325"/>
    </row>
    <row r="255" spans="1:10" ht="15.75">
      <c r="A255" s="234">
        <v>381000</v>
      </c>
      <c r="B255" s="229" t="s">
        <v>332</v>
      </c>
      <c r="F255" s="457">
        <f t="shared" si="6"/>
        <v>76203</v>
      </c>
      <c r="H255" s="68">
        <v>76202536</v>
      </c>
      <c r="I255" s="68"/>
      <c r="J255" s="325"/>
    </row>
    <row r="256" spans="1:10" ht="15.75">
      <c r="A256" s="234">
        <v>382000</v>
      </c>
      <c r="B256" s="229" t="s">
        <v>333</v>
      </c>
      <c r="F256" s="457">
        <f t="shared" si="6"/>
        <v>0</v>
      </c>
      <c r="H256" s="68">
        <v>0</v>
      </c>
      <c r="I256" s="68"/>
      <c r="J256" s="325"/>
    </row>
    <row r="257" spans="1:10" ht="15.75">
      <c r="A257" s="234">
        <v>383000</v>
      </c>
      <c r="B257" s="229" t="s">
        <v>334</v>
      </c>
      <c r="F257" s="457">
        <f t="shared" si="6"/>
        <v>0</v>
      </c>
      <c r="H257" s="68">
        <v>0</v>
      </c>
      <c r="I257" s="68"/>
      <c r="J257" s="325"/>
    </row>
    <row r="258" spans="1:10" ht="15.75">
      <c r="A258" s="234">
        <v>384000</v>
      </c>
      <c r="B258" s="229" t="s">
        <v>335</v>
      </c>
      <c r="F258" s="457">
        <f t="shared" si="6"/>
        <v>0</v>
      </c>
      <c r="H258" s="68">
        <v>0</v>
      </c>
      <c r="I258" s="68"/>
      <c r="J258" s="325"/>
    </row>
    <row r="259" spans="1:10" ht="15.75">
      <c r="A259" s="234">
        <v>385000</v>
      </c>
      <c r="B259" s="229" t="s">
        <v>336</v>
      </c>
      <c r="F259" s="457">
        <f t="shared" si="6"/>
        <v>2931</v>
      </c>
      <c r="H259" s="68">
        <v>2931175</v>
      </c>
      <c r="I259" s="68"/>
      <c r="J259" s="325"/>
    </row>
    <row r="260" spans="1:10" ht="15.75">
      <c r="A260" s="234">
        <v>387000</v>
      </c>
      <c r="B260" s="229" t="s">
        <v>240</v>
      </c>
      <c r="F260" s="457">
        <f t="shared" si="6"/>
        <v>0</v>
      </c>
      <c r="H260" s="68">
        <v>0</v>
      </c>
      <c r="I260" s="68"/>
      <c r="J260" s="325"/>
    </row>
    <row r="261" spans="1:10" ht="15.75">
      <c r="A261" s="234"/>
      <c r="B261" s="229" t="s">
        <v>337</v>
      </c>
      <c r="F261" s="457">
        <f t="shared" si="6"/>
        <v>571039</v>
      </c>
      <c r="H261" s="68">
        <v>571038704</v>
      </c>
      <c r="I261" s="68"/>
      <c r="J261" s="325"/>
    </row>
    <row r="262" spans="1:10" ht="15.75">
      <c r="A262" s="234"/>
      <c r="B262" s="229"/>
      <c r="F262" s="457">
        <f t="shared" si="6"/>
        <v>0</v>
      </c>
      <c r="H262" s="68"/>
      <c r="I262" s="68"/>
      <c r="J262" s="325"/>
    </row>
    <row r="263" spans="1:10" ht="15.75">
      <c r="A263" s="234"/>
      <c r="B263" s="229" t="s">
        <v>338</v>
      </c>
      <c r="F263" s="457">
        <f t="shared" si="6"/>
        <v>0</v>
      </c>
      <c r="H263" s="68"/>
      <c r="I263" s="68"/>
      <c r="J263" s="325"/>
    </row>
    <row r="264" spans="1:10" ht="15.75">
      <c r="A264" s="234" t="s">
        <v>339</v>
      </c>
      <c r="B264" s="229" t="s">
        <v>319</v>
      </c>
      <c r="F264" s="457">
        <f t="shared" si="6"/>
        <v>5186</v>
      </c>
      <c r="H264" s="68">
        <v>5185571</v>
      </c>
      <c r="I264" s="68"/>
      <c r="J264" s="325"/>
    </row>
    <row r="265" spans="1:10" ht="15.75">
      <c r="A265" s="232" t="s">
        <v>340</v>
      </c>
      <c r="B265" s="229" t="s">
        <v>321</v>
      </c>
      <c r="F265" s="457">
        <f t="shared" si="6"/>
        <v>49855</v>
      </c>
      <c r="H265" s="68">
        <v>49854968</v>
      </c>
      <c r="I265" s="68"/>
      <c r="J265" s="325"/>
    </row>
    <row r="266" spans="1:10" ht="15.75">
      <c r="A266" s="232" t="s">
        <v>341</v>
      </c>
      <c r="B266" s="229" t="s">
        <v>342</v>
      </c>
      <c r="F266" s="457">
        <f t="shared" si="6"/>
        <v>13426</v>
      </c>
      <c r="H266" s="68">
        <v>13426129</v>
      </c>
      <c r="I266" s="68"/>
      <c r="J266" s="325"/>
    </row>
    <row r="267" spans="1:10" ht="15.75">
      <c r="A267" s="232" t="s">
        <v>343</v>
      </c>
      <c r="B267" s="229" t="s">
        <v>344</v>
      </c>
      <c r="F267" s="457">
        <f t="shared" si="6"/>
        <v>13853</v>
      </c>
      <c r="H267" s="68">
        <v>13853086</v>
      </c>
      <c r="I267" s="68"/>
      <c r="J267" s="325"/>
    </row>
    <row r="268" spans="1:10" ht="15.75">
      <c r="A268" s="234">
        <v>393000</v>
      </c>
      <c r="B268" s="229" t="s">
        <v>345</v>
      </c>
      <c r="F268" s="457">
        <f t="shared" si="6"/>
        <v>962</v>
      </c>
      <c r="H268" s="68">
        <v>962300</v>
      </c>
      <c r="I268" s="68"/>
      <c r="J268" s="325"/>
    </row>
    <row r="269" spans="1:10" ht="15.75">
      <c r="A269" s="234">
        <v>394000</v>
      </c>
      <c r="B269" s="229" t="s">
        <v>346</v>
      </c>
      <c r="F269" s="457">
        <f t="shared" si="6"/>
        <v>7521</v>
      </c>
      <c r="H269" s="68">
        <v>7521211</v>
      </c>
      <c r="I269" s="68"/>
      <c r="J269" s="325"/>
    </row>
    <row r="270" spans="1:10" ht="15.75">
      <c r="A270" s="234">
        <v>395000</v>
      </c>
      <c r="B270" s="229" t="s">
        <v>347</v>
      </c>
      <c r="F270" s="457">
        <f t="shared" si="6"/>
        <v>500</v>
      </c>
      <c r="H270" s="68">
        <v>499883</v>
      </c>
      <c r="I270" s="68"/>
      <c r="J270" s="325"/>
    </row>
    <row r="271" spans="1:10" ht="15.75">
      <c r="A271" s="234" t="s">
        <v>348</v>
      </c>
      <c r="B271" s="229" t="s">
        <v>349</v>
      </c>
      <c r="F271" s="457">
        <f t="shared" si="6"/>
        <v>3458</v>
      </c>
      <c r="H271" s="68">
        <v>3457876</v>
      </c>
      <c r="I271" s="68"/>
      <c r="J271" s="325"/>
    </row>
    <row r="272" spans="1:10" ht="15.75">
      <c r="A272" s="234" t="s">
        <v>350</v>
      </c>
      <c r="B272" s="229" t="s">
        <v>351</v>
      </c>
      <c r="F272" s="457">
        <f t="shared" si="6"/>
        <v>15353</v>
      </c>
      <c r="H272" s="68">
        <v>15352725</v>
      </c>
      <c r="I272" s="68"/>
      <c r="J272" s="325"/>
    </row>
    <row r="273" spans="1:10" ht="15.75">
      <c r="A273" s="234">
        <v>398000</v>
      </c>
      <c r="B273" s="229" t="s">
        <v>352</v>
      </c>
      <c r="F273" s="457">
        <f t="shared" si="6"/>
        <v>103</v>
      </c>
      <c r="H273" s="68">
        <v>103312</v>
      </c>
      <c r="I273" s="68"/>
      <c r="J273" s="325"/>
    </row>
    <row r="274" spans="1:10" ht="15.75">
      <c r="A274" s="234"/>
      <c r="B274" s="229" t="s">
        <v>353</v>
      </c>
      <c r="F274" s="457">
        <f t="shared" si="6"/>
        <v>110217</v>
      </c>
      <c r="H274" s="68">
        <v>110217061</v>
      </c>
      <c r="I274" s="68"/>
      <c r="J274" s="325"/>
    </row>
    <row r="275" spans="1:10" ht="15.75">
      <c r="A275" s="234"/>
      <c r="B275" s="229"/>
      <c r="F275" s="457">
        <f t="shared" si="6"/>
        <v>0</v>
      </c>
      <c r="H275" s="68"/>
      <c r="I275" s="68"/>
      <c r="J275" s="325"/>
    </row>
    <row r="276" spans="1:10" ht="15.75">
      <c r="A276" s="234"/>
      <c r="B276" s="229" t="s">
        <v>354</v>
      </c>
      <c r="F276" s="457">
        <f t="shared" si="6"/>
        <v>761786</v>
      </c>
      <c r="H276" s="68">
        <v>761786263</v>
      </c>
      <c r="I276" s="68"/>
      <c r="J276" s="325"/>
    </row>
    <row r="277" spans="1:10" ht="15.75">
      <c r="A277" s="234"/>
      <c r="B277" s="229"/>
      <c r="F277" s="457">
        <f t="shared" si="6"/>
        <v>0</v>
      </c>
      <c r="H277" s="68"/>
      <c r="I277" s="68"/>
      <c r="J277" s="325"/>
    </row>
    <row r="278" spans="1:10" ht="15.75">
      <c r="A278" s="234"/>
      <c r="B278" s="229"/>
      <c r="F278" s="457">
        <f t="shared" si="6"/>
        <v>0</v>
      </c>
      <c r="H278" s="68"/>
      <c r="I278" s="68"/>
      <c r="J278" s="325"/>
    </row>
    <row r="279" spans="1:10" ht="15.75">
      <c r="A279" s="232"/>
      <c r="B279" s="229" t="s">
        <v>64</v>
      </c>
      <c r="F279" s="457">
        <f t="shared" si="6"/>
        <v>0</v>
      </c>
      <c r="H279" s="68"/>
      <c r="I279" s="68"/>
      <c r="J279" s="325"/>
    </row>
    <row r="280" spans="1:10" ht="15.75">
      <c r="A280" s="232"/>
      <c r="B280" s="229" t="s">
        <v>42</v>
      </c>
      <c r="F280" s="457">
        <f t="shared" si="6"/>
        <v>-12363</v>
      </c>
      <c r="H280" s="68">
        <v>-12362775</v>
      </c>
      <c r="I280" s="68"/>
      <c r="J280" s="325"/>
    </row>
    <row r="281" spans="1:10" ht="15.75">
      <c r="A281" s="232"/>
      <c r="B281" s="229" t="s">
        <v>61</v>
      </c>
      <c r="F281" s="457">
        <f t="shared" si="6"/>
        <v>-161309</v>
      </c>
      <c r="H281" s="68">
        <v>-161308576</v>
      </c>
      <c r="I281" s="68"/>
      <c r="J281" s="325"/>
    </row>
    <row r="282" spans="1:10" ht="15.75">
      <c r="A282" s="232"/>
      <c r="B282" s="229" t="s">
        <v>62</v>
      </c>
      <c r="F282" s="457">
        <f t="shared" si="6"/>
        <v>-30965</v>
      </c>
      <c r="H282" s="68">
        <v>-30965086</v>
      </c>
      <c r="I282" s="68"/>
      <c r="J282" s="325"/>
    </row>
    <row r="283" spans="1:10" ht="15.75">
      <c r="A283" s="228"/>
      <c r="B283" s="229" t="s">
        <v>355</v>
      </c>
      <c r="F283" s="457">
        <f t="shared" si="6"/>
        <v>-204636</v>
      </c>
      <c r="H283" s="68">
        <v>-204636437</v>
      </c>
      <c r="I283" s="68"/>
      <c r="J283" s="325"/>
    </row>
    <row r="284" spans="1:10" ht="15.75">
      <c r="A284" s="228"/>
      <c r="B284" s="229"/>
      <c r="F284" s="457">
        <f t="shared" si="6"/>
        <v>0</v>
      </c>
      <c r="H284" s="68"/>
      <c r="I284" s="68"/>
      <c r="J284" s="325"/>
    </row>
    <row r="285" spans="1:10" ht="15.75">
      <c r="A285" s="228"/>
      <c r="B285" s="229" t="s">
        <v>356</v>
      </c>
      <c r="F285" s="457">
        <f t="shared" si="6"/>
        <v>0</v>
      </c>
      <c r="H285" s="68"/>
      <c r="I285" s="68"/>
      <c r="J285" s="325"/>
    </row>
    <row r="286" spans="1:10" ht="15.75">
      <c r="A286" s="232"/>
      <c r="B286" s="229" t="s">
        <v>357</v>
      </c>
      <c r="F286" s="457">
        <f t="shared" si="6"/>
        <v>-944</v>
      </c>
      <c r="H286" s="68">
        <v>-943968</v>
      </c>
      <c r="I286" s="68"/>
      <c r="J286" s="325"/>
    </row>
    <row r="287" spans="1:10" ht="15.75">
      <c r="A287" s="232"/>
      <c r="B287" s="229" t="s">
        <v>358</v>
      </c>
      <c r="F287" s="457">
        <f t="shared" si="6"/>
        <v>-20498</v>
      </c>
      <c r="H287" s="68">
        <v>-20498429</v>
      </c>
      <c r="I287" s="68"/>
      <c r="J287" s="325"/>
    </row>
    <row r="288" spans="1:10" ht="15.75">
      <c r="A288" s="232"/>
      <c r="B288" s="229" t="s">
        <v>42</v>
      </c>
      <c r="F288" s="457">
        <f t="shared" si="6"/>
        <v>0</v>
      </c>
      <c r="H288" s="68">
        <v>0</v>
      </c>
      <c r="I288" s="68"/>
      <c r="J288" s="325"/>
    </row>
    <row r="289" spans="1:10" ht="15.75">
      <c r="A289" s="232"/>
      <c r="B289" s="229" t="s">
        <v>359</v>
      </c>
      <c r="F289" s="457">
        <f t="shared" si="6"/>
        <v>0</v>
      </c>
      <c r="H289" s="68">
        <v>0</v>
      </c>
      <c r="I289" s="68"/>
      <c r="J289" s="325"/>
    </row>
    <row r="290" spans="1:10" ht="15.75">
      <c r="A290" s="232"/>
      <c r="B290" s="229" t="s">
        <v>360</v>
      </c>
      <c r="F290" s="457">
        <f t="shared" si="6"/>
        <v>-21442</v>
      </c>
      <c r="H290" s="68">
        <v>-21442397</v>
      </c>
      <c r="I290" s="68"/>
      <c r="J290" s="325"/>
    </row>
    <row r="291" spans="1:10" ht="15.75">
      <c r="A291" s="232"/>
      <c r="B291" s="229"/>
      <c r="F291" s="457">
        <f t="shared" si="6"/>
        <v>0</v>
      </c>
      <c r="H291" s="68"/>
      <c r="I291" s="68"/>
      <c r="J291" s="325"/>
    </row>
    <row r="292" spans="1:10" ht="15.75">
      <c r="A292" s="232"/>
      <c r="B292" s="229" t="s">
        <v>361</v>
      </c>
      <c r="F292" s="457">
        <f t="shared" si="6"/>
        <v>-226079</v>
      </c>
      <c r="H292" s="68">
        <v>-226078834</v>
      </c>
      <c r="I292" s="68"/>
      <c r="J292" s="325"/>
    </row>
    <row r="293" spans="1:10" ht="15.75">
      <c r="A293" s="232"/>
      <c r="B293" s="229"/>
      <c r="F293" s="457">
        <f t="shared" si="6"/>
        <v>0</v>
      </c>
      <c r="H293" s="68"/>
      <c r="I293" s="68"/>
      <c r="J293" s="325"/>
    </row>
    <row r="294" spans="1:10" ht="15.75">
      <c r="A294" s="228"/>
      <c r="B294" s="229" t="s">
        <v>362</v>
      </c>
      <c r="F294" s="457">
        <f t="shared" si="6"/>
        <v>535707</v>
      </c>
      <c r="H294" s="68">
        <v>535707429</v>
      </c>
      <c r="I294" s="68"/>
      <c r="J294" s="325"/>
    </row>
    <row r="295" spans="1:10" ht="15.75">
      <c r="A295" s="228"/>
      <c r="B295" s="229"/>
      <c r="F295" s="457">
        <f t="shared" si="6"/>
        <v>0</v>
      </c>
      <c r="H295" s="68"/>
      <c r="I295" s="68"/>
      <c r="J295" s="328"/>
    </row>
    <row r="296" spans="1:10" ht="15.75">
      <c r="A296" s="236"/>
      <c r="B296" s="237" t="s">
        <v>363</v>
      </c>
      <c r="F296" s="457">
        <f t="shared" si="6"/>
        <v>0</v>
      </c>
      <c r="H296" s="68"/>
      <c r="I296" s="68"/>
      <c r="J296" s="328"/>
    </row>
    <row r="297" spans="1:10" ht="15.75">
      <c r="A297" s="238">
        <v>282900</v>
      </c>
      <c r="B297" s="237" t="s">
        <v>364</v>
      </c>
      <c r="F297" s="457">
        <f t="shared" si="6"/>
        <v>-84154</v>
      </c>
      <c r="H297" s="68">
        <v>-84154079</v>
      </c>
      <c r="I297" s="68"/>
      <c r="J297" s="328"/>
    </row>
    <row r="298" spans="1:10" ht="15.75">
      <c r="A298" s="238">
        <v>282900</v>
      </c>
      <c r="B298" s="237" t="s">
        <v>365</v>
      </c>
      <c r="F298" s="457">
        <f t="shared" si="6"/>
        <v>-12724</v>
      </c>
      <c r="H298" s="68">
        <v>-12724447</v>
      </c>
      <c r="I298" s="68"/>
      <c r="J298" s="328"/>
    </row>
    <row r="299" spans="1:10" ht="15.75">
      <c r="A299" s="359">
        <v>282919</v>
      </c>
      <c r="B299" s="328" t="s">
        <v>481</v>
      </c>
      <c r="F299" s="457">
        <f t="shared" si="6"/>
        <v>-491</v>
      </c>
      <c r="H299" s="68">
        <v>-491202</v>
      </c>
      <c r="I299" s="68"/>
      <c r="J299" s="328"/>
    </row>
    <row r="300" spans="1:10" ht="15.75">
      <c r="A300" s="238">
        <v>283750</v>
      </c>
      <c r="B300" s="237" t="s">
        <v>402</v>
      </c>
      <c r="F300" s="457">
        <f t="shared" si="6"/>
        <v>24</v>
      </c>
      <c r="H300" s="68">
        <v>24017</v>
      </c>
      <c r="I300" s="68"/>
      <c r="J300" s="328"/>
    </row>
    <row r="301" spans="1:10" ht="15.75">
      <c r="A301" s="238">
        <v>283850</v>
      </c>
      <c r="B301" s="237" t="s">
        <v>366</v>
      </c>
      <c r="F301" s="457">
        <f t="shared" ref="F301:F324" si="7">ROUND(H301/1000,0)</f>
        <v>-212</v>
      </c>
      <c r="H301" s="68">
        <v>-212433</v>
      </c>
      <c r="I301" s="68"/>
      <c r="J301" s="325"/>
    </row>
    <row r="302" spans="1:10" ht="15.75">
      <c r="A302" s="232"/>
      <c r="B302" s="229" t="s">
        <v>367</v>
      </c>
      <c r="F302" s="457">
        <f t="shared" si="7"/>
        <v>-97558</v>
      </c>
      <c r="H302" s="68">
        <v>-97558144</v>
      </c>
      <c r="I302" s="68"/>
      <c r="J302" s="325"/>
    </row>
    <row r="303" spans="1:10" ht="15.75">
      <c r="A303" s="228"/>
      <c r="B303" s="229"/>
      <c r="F303" s="457">
        <f t="shared" si="7"/>
        <v>0</v>
      </c>
      <c r="H303" s="68"/>
      <c r="I303" s="68"/>
      <c r="J303" s="325"/>
    </row>
    <row r="304" spans="1:10" ht="12.75">
      <c r="A304" s="228"/>
      <c r="B304" s="229" t="s">
        <v>368</v>
      </c>
      <c r="F304" s="457">
        <f t="shared" si="7"/>
        <v>438149</v>
      </c>
      <c r="H304" s="68">
        <v>438149285</v>
      </c>
    </row>
    <row r="305" spans="1:10" ht="15.75">
      <c r="J305" s="325"/>
    </row>
    <row r="306" spans="1:10" ht="15.75">
      <c r="A306" s="239"/>
      <c r="B306" s="240" t="s">
        <v>369</v>
      </c>
      <c r="I306" s="68"/>
      <c r="J306" s="325"/>
    </row>
    <row r="307" spans="1:10" ht="15.75">
      <c r="A307" s="488">
        <v>108121</v>
      </c>
      <c r="B307" s="325" t="s">
        <v>489</v>
      </c>
      <c r="F307" s="457">
        <f t="shared" si="7"/>
        <v>-4097</v>
      </c>
      <c r="H307" s="301">
        <v>-4097473</v>
      </c>
      <c r="I307" s="68"/>
      <c r="J307" s="325"/>
    </row>
    <row r="308" spans="1:10" ht="15.75">
      <c r="A308" s="488">
        <v>182332</v>
      </c>
      <c r="B308" s="325" t="s">
        <v>482</v>
      </c>
      <c r="F308" s="457">
        <f t="shared" si="7"/>
        <v>2892</v>
      </c>
      <c r="H308" s="68">
        <v>2891512</v>
      </c>
      <c r="I308" s="68"/>
      <c r="J308" s="325"/>
    </row>
    <row r="309" spans="1:10" ht="15.75">
      <c r="A309" s="488">
        <v>182318</v>
      </c>
      <c r="B309" s="325" t="s">
        <v>483</v>
      </c>
      <c r="F309" s="457">
        <f t="shared" si="7"/>
        <v>-503</v>
      </c>
      <c r="H309" s="68">
        <v>-502594</v>
      </c>
      <c r="I309" s="68"/>
      <c r="J309" s="328"/>
    </row>
    <row r="310" spans="1:10" ht="15.75">
      <c r="A310" s="359">
        <v>117100</v>
      </c>
      <c r="B310" s="328" t="s">
        <v>370</v>
      </c>
      <c r="F310" s="457">
        <f t="shared" si="7"/>
        <v>3944</v>
      </c>
      <c r="H310" s="68">
        <v>3943545</v>
      </c>
      <c r="I310" s="68"/>
      <c r="J310" s="328"/>
    </row>
    <row r="311" spans="1:10" ht="15.75">
      <c r="A311" s="359">
        <v>164100</v>
      </c>
      <c r="B311" s="328" t="s">
        <v>371</v>
      </c>
      <c r="F311" s="457">
        <f t="shared" si="7"/>
        <v>7659</v>
      </c>
      <c r="H311" s="68">
        <v>7658945</v>
      </c>
      <c r="I311" s="68"/>
      <c r="J311" s="328"/>
    </row>
    <row r="312" spans="1:10" ht="15.75">
      <c r="A312" s="359">
        <v>164115</v>
      </c>
      <c r="B312" s="328" t="s">
        <v>545</v>
      </c>
      <c r="F312" s="457">
        <f t="shared" si="7"/>
        <v>40</v>
      </c>
      <c r="H312" s="68">
        <v>39616</v>
      </c>
      <c r="I312" s="68"/>
      <c r="J312" s="328"/>
    </row>
    <row r="313" spans="1:10" ht="15.75">
      <c r="A313" s="359">
        <v>252000</v>
      </c>
      <c r="B313" s="329" t="s">
        <v>372</v>
      </c>
      <c r="F313" s="457">
        <f t="shared" si="7"/>
        <v>0</v>
      </c>
      <c r="H313" s="68">
        <v>4</v>
      </c>
      <c r="I313" s="68"/>
      <c r="J313" s="328"/>
    </row>
    <row r="314" spans="1:10" ht="15.75">
      <c r="A314" s="359">
        <v>254393</v>
      </c>
      <c r="B314" s="329" t="s">
        <v>546</v>
      </c>
      <c r="F314" s="457">
        <f t="shared" si="7"/>
        <v>-12853</v>
      </c>
      <c r="H314" s="68">
        <v>-12852791</v>
      </c>
      <c r="I314" s="68"/>
      <c r="J314" s="328"/>
    </row>
    <row r="315" spans="1:10" ht="15.75">
      <c r="A315" s="359">
        <v>190393</v>
      </c>
      <c r="B315" s="329" t="s">
        <v>547</v>
      </c>
      <c r="F315" s="457">
        <f t="shared" si="7"/>
        <v>2699</v>
      </c>
      <c r="H315" s="68">
        <v>2699086</v>
      </c>
      <c r="I315" s="68"/>
      <c r="J315" s="328"/>
    </row>
    <row r="316" spans="1:10" ht="15.75">
      <c r="A316" s="359">
        <v>235199</v>
      </c>
      <c r="B316" s="329" t="s">
        <v>373</v>
      </c>
      <c r="F316" s="457">
        <f t="shared" si="7"/>
        <v>-152</v>
      </c>
      <c r="H316" s="68">
        <v>-152429</v>
      </c>
      <c r="I316" s="68"/>
      <c r="J316" s="328"/>
    </row>
    <row r="317" spans="1:10" ht="15.75">
      <c r="A317" s="359">
        <v>254911</v>
      </c>
      <c r="B317" s="329" t="s">
        <v>484</v>
      </c>
      <c r="F317" s="457">
        <f t="shared" si="7"/>
        <v>0</v>
      </c>
      <c r="H317" s="68">
        <v>0</v>
      </c>
      <c r="I317" s="68"/>
      <c r="J317" s="328"/>
    </row>
    <row r="318" spans="1:10" ht="15.75">
      <c r="A318" s="359">
        <v>182302</v>
      </c>
      <c r="B318" s="329" t="s">
        <v>436</v>
      </c>
      <c r="F318" s="457">
        <f t="shared" si="7"/>
        <v>8064</v>
      </c>
      <c r="H318" s="68">
        <v>8064011</v>
      </c>
      <c r="I318" s="68"/>
      <c r="J318" s="328"/>
    </row>
    <row r="319" spans="1:10" ht="15.75">
      <c r="A319" s="359">
        <v>283302</v>
      </c>
      <c r="B319" s="329" t="s">
        <v>485</v>
      </c>
      <c r="F319" s="457">
        <f t="shared" si="7"/>
        <v>-1693</v>
      </c>
      <c r="H319" s="68">
        <v>-1693442</v>
      </c>
      <c r="I319" s="68"/>
      <c r="J319" s="328"/>
    </row>
    <row r="320" spans="1:10" ht="15.75">
      <c r="A320" s="327"/>
      <c r="B320" s="329" t="s">
        <v>374</v>
      </c>
      <c r="F320" s="457">
        <f t="shared" si="7"/>
        <v>2649</v>
      </c>
      <c r="H320" s="68">
        <v>2648539</v>
      </c>
      <c r="I320" s="68"/>
      <c r="J320" s="329"/>
    </row>
    <row r="321" spans="1:10" ht="15.75">
      <c r="A321" s="359">
        <v>186710</v>
      </c>
      <c r="B321" s="328" t="s">
        <v>375</v>
      </c>
      <c r="F321" s="457">
        <f t="shared" si="7"/>
        <v>0</v>
      </c>
      <c r="H321" s="68">
        <v>0</v>
      </c>
      <c r="I321" s="68"/>
      <c r="J321" s="329"/>
    </row>
    <row r="322" spans="1:10" ht="15.75">
      <c r="A322" s="241"/>
      <c r="B322" s="240" t="s">
        <v>376</v>
      </c>
      <c r="F322" s="457">
        <f t="shared" si="7"/>
        <v>8647</v>
      </c>
      <c r="H322" s="68">
        <v>8646529</v>
      </c>
      <c r="I322" s="68"/>
      <c r="J322" s="325"/>
    </row>
    <row r="323" spans="1:10" ht="15.75">
      <c r="A323" s="241"/>
      <c r="B323" s="240"/>
      <c r="F323" s="457">
        <f t="shared" si="7"/>
        <v>0</v>
      </c>
      <c r="H323" s="68"/>
      <c r="I323" s="68"/>
      <c r="J323" s="325"/>
    </row>
    <row r="324" spans="1:10" ht="12.75">
      <c r="A324" s="241"/>
      <c r="B324" s="240" t="s">
        <v>377</v>
      </c>
      <c r="F324" s="457">
        <f t="shared" si="7"/>
        <v>446796</v>
      </c>
      <c r="H324" s="68">
        <v>446795814</v>
      </c>
    </row>
    <row r="325" spans="1:10" ht="12"/>
    <row r="326" spans="1:10" ht="12"/>
    <row r="327" spans="1:10" ht="12"/>
    <row r="328" spans="1:10" ht="12"/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9" orientation="portrait" horizontalDpi="300" verticalDpi="300" r:id="rId3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J74"/>
  <sheetViews>
    <sheetView topLeftCell="A40" workbookViewId="0">
      <selection activeCell="M82" sqref="M82"/>
    </sheetView>
  </sheetViews>
  <sheetFormatPr defaultColWidth="10.5703125" defaultRowHeight="12.75"/>
  <cols>
    <col min="1" max="1" width="8.42578125" style="185" customWidth="1"/>
    <col min="2" max="2" width="18.5703125" style="186" customWidth="1"/>
    <col min="3" max="4" width="10.5703125" style="179" customWidth="1"/>
    <col min="5" max="5" width="10.140625" style="179" customWidth="1"/>
    <col min="6" max="6" width="14.5703125" style="187" customWidth="1"/>
    <col min="7" max="7" width="11.140625" style="179" bestFit="1" customWidth="1"/>
    <col min="8" max="8" width="2.140625" style="179" customWidth="1"/>
    <col min="9" max="9" width="14.140625" style="179" customWidth="1"/>
    <col min="10" max="10" width="19.140625" style="179" customWidth="1"/>
    <col min="11" max="16384" width="10.5703125" style="179"/>
  </cols>
  <sheetData>
    <row r="1" spans="1:9">
      <c r="A1" s="1085" t="s">
        <v>112</v>
      </c>
      <c r="B1" s="1085"/>
      <c r="C1" s="1085"/>
      <c r="D1" s="1085"/>
      <c r="E1" s="1085"/>
      <c r="F1" s="1085"/>
      <c r="G1" s="1085"/>
      <c r="H1" s="1085"/>
    </row>
    <row r="2" spans="1:9">
      <c r="A2" s="1086" t="s">
        <v>123</v>
      </c>
      <c r="B2" s="1086"/>
      <c r="C2" s="1086"/>
      <c r="D2" s="1086"/>
      <c r="E2" s="1086"/>
      <c r="F2" s="1086"/>
      <c r="G2" s="1086"/>
      <c r="H2" s="1086"/>
    </row>
    <row r="3" spans="1:9">
      <c r="A3" s="1086" t="s">
        <v>205</v>
      </c>
      <c r="B3" s="1086"/>
      <c r="C3" s="1086"/>
      <c r="D3" s="1086"/>
      <c r="E3" s="1086"/>
      <c r="F3" s="1086"/>
      <c r="G3" s="1086"/>
      <c r="H3" s="1086"/>
    </row>
    <row r="4" spans="1:9">
      <c r="A4" s="1087" t="str">
        <f>'ROO INPUT 1.00'!A5:C5</f>
        <v>TWELVE MONTHS ENDED SEPTEMBER 30, 2021</v>
      </c>
      <c r="B4" s="1087"/>
      <c r="C4" s="1087"/>
      <c r="D4" s="1087"/>
      <c r="E4" s="1087"/>
      <c r="F4" s="1087"/>
      <c r="G4" s="1087"/>
      <c r="H4" s="1087"/>
    </row>
    <row r="5" spans="1:9">
      <c r="A5" s="1088" t="s">
        <v>115</v>
      </c>
      <c r="B5" s="1088"/>
      <c r="C5" s="1088"/>
      <c r="D5" s="1088"/>
      <c r="E5" s="1088"/>
      <c r="F5" s="1088"/>
      <c r="G5" s="1088"/>
      <c r="H5" s="1088"/>
    </row>
    <row r="6" spans="1:9" ht="13.5" thickBot="1">
      <c r="A6" s="180"/>
      <c r="B6" s="181"/>
      <c r="C6" s="182"/>
      <c r="D6" s="183"/>
      <c r="E6" s="183"/>
      <c r="F6" s="183"/>
      <c r="I6" s="184" t="s">
        <v>199</v>
      </c>
    </row>
    <row r="7" spans="1:9" ht="13.5" thickBot="1">
      <c r="C7" s="187"/>
      <c r="D7" s="187"/>
      <c r="E7" s="1082" t="s">
        <v>123</v>
      </c>
      <c r="F7" s="1083"/>
      <c r="G7" s="1084"/>
      <c r="I7" s="184" t="s">
        <v>200</v>
      </c>
    </row>
    <row r="8" spans="1:9">
      <c r="C8" s="187"/>
      <c r="D8" s="187"/>
      <c r="E8" s="185">
        <f>'ADJ DETAIL INPUT'!V10</f>
        <v>2.139999999999997</v>
      </c>
      <c r="F8" s="248"/>
      <c r="G8" s="248"/>
      <c r="I8" s="184"/>
    </row>
    <row r="9" spans="1:9">
      <c r="C9" s="187"/>
      <c r="D9" s="187"/>
      <c r="E9" s="188" t="s">
        <v>20</v>
      </c>
      <c r="F9" s="184" t="s">
        <v>389</v>
      </c>
      <c r="G9" s="184" t="s">
        <v>390</v>
      </c>
      <c r="I9" s="184" t="s">
        <v>201</v>
      </c>
    </row>
    <row r="10" spans="1:9">
      <c r="B10" s="189" t="s">
        <v>116</v>
      </c>
      <c r="C10" s="187"/>
      <c r="D10" s="187"/>
      <c r="E10" s="190" t="s">
        <v>202</v>
      </c>
      <c r="F10" s="191" t="s">
        <v>117</v>
      </c>
      <c r="G10" s="191" t="s">
        <v>203</v>
      </c>
      <c r="I10" s="191" t="str">
        <f>F10</f>
        <v>Adjustments</v>
      </c>
    </row>
    <row r="11" spans="1:9">
      <c r="A11" s="185">
        <f>'ADJ SUMMARY'!A8</f>
        <v>1</v>
      </c>
      <c r="B11" s="186" t="str">
        <f>'ADJ SUMMARY'!C8</f>
        <v>Per Results Report</v>
      </c>
      <c r="C11" s="187"/>
      <c r="D11" s="187"/>
      <c r="E11" s="192">
        <f>'ADJ SUMMARY'!E8</f>
        <v>446796</v>
      </c>
      <c r="F11" s="192"/>
      <c r="G11" s="199">
        <f>SUM(E11:F11)</f>
        <v>446796</v>
      </c>
      <c r="H11" s="199"/>
      <c r="I11" s="199">
        <f>ROUND(E11*$E$63*-$E$70,0)-(E67*-E70)</f>
        <v>250.07999999999993</v>
      </c>
    </row>
    <row r="12" spans="1:9">
      <c r="A12" s="185">
        <f>'ADJ SUMMARY'!A9</f>
        <v>1.01</v>
      </c>
      <c r="B12" s="186" t="str">
        <f>'ADJ SUMMARY'!C9</f>
        <v>Deferred FIT Rate Base</v>
      </c>
      <c r="C12" s="187"/>
      <c r="D12" s="187"/>
      <c r="F12" s="192">
        <f>'ADJ SUMMARY'!E9</f>
        <v>227</v>
      </c>
      <c r="G12" s="199">
        <f t="shared" ref="G12:G31" si="0">SUM(F12:F12)</f>
        <v>227</v>
      </c>
      <c r="H12" s="199"/>
      <c r="I12" s="192">
        <f t="shared" ref="I12:I58" si="1">ROUND(F12*$E$63*-$F$70,0)</f>
        <v>-1</v>
      </c>
    </row>
    <row r="13" spans="1:9">
      <c r="A13" s="185">
        <f>'ADJ SUMMARY'!A10</f>
        <v>1.02</v>
      </c>
      <c r="B13" s="186" t="str">
        <f>'ADJ SUMMARY'!C10</f>
        <v>Deferred Debits and Credits</v>
      </c>
      <c r="C13" s="187"/>
      <c r="D13" s="187"/>
      <c r="F13" s="192">
        <f>'ADJ SUMMARY'!E10</f>
        <v>1</v>
      </c>
      <c r="G13" s="199">
        <f t="shared" si="0"/>
        <v>1</v>
      </c>
      <c r="H13" s="199"/>
      <c r="I13" s="192">
        <f t="shared" si="1"/>
        <v>0</v>
      </c>
    </row>
    <row r="14" spans="1:9">
      <c r="A14" s="185">
        <f>'ADJ SUMMARY'!A11</f>
        <v>1.03</v>
      </c>
      <c r="B14" s="186" t="str">
        <f>'ADJ SUMMARY'!C11</f>
        <v>Working Capital</v>
      </c>
      <c r="C14" s="187"/>
      <c r="D14" s="187"/>
      <c r="F14" s="192">
        <f>'ADJ SUMMARY'!E11</f>
        <v>-160</v>
      </c>
      <c r="G14" s="199">
        <f t="shared" si="0"/>
        <v>-160</v>
      </c>
      <c r="H14" s="199"/>
      <c r="I14" s="192">
        <f t="shared" si="1"/>
        <v>1</v>
      </c>
    </row>
    <row r="15" spans="1:9">
      <c r="A15" s="185">
        <f>'ADJ SUMMARY'!A12</f>
        <v>2.0099999999999998</v>
      </c>
      <c r="B15" s="186" t="str">
        <f>'ADJ SUMMARY'!C12</f>
        <v>Eliminate B &amp; O Taxes</v>
      </c>
      <c r="C15" s="187"/>
      <c r="D15" s="187"/>
      <c r="F15" s="192">
        <f>'ADJ SUMMARY'!E12</f>
        <v>0</v>
      </c>
      <c r="G15" s="199">
        <f t="shared" si="0"/>
        <v>0</v>
      </c>
      <c r="H15" s="199"/>
      <c r="I15" s="192">
        <f t="shared" si="1"/>
        <v>0</v>
      </c>
    </row>
    <row r="16" spans="1:9">
      <c r="A16" s="185">
        <f>'ADJ SUMMARY'!A13</f>
        <v>2.0199999999999996</v>
      </c>
      <c r="B16" s="186" t="str">
        <f>'ADJ SUMMARY'!C13</f>
        <v>Restate Property Tax</v>
      </c>
      <c r="C16" s="187"/>
      <c r="D16" s="187"/>
      <c r="F16" s="192">
        <f>'ADJ SUMMARY'!E13</f>
        <v>0</v>
      </c>
      <c r="G16" s="199">
        <f t="shared" si="0"/>
        <v>0</v>
      </c>
      <c r="H16" s="199"/>
      <c r="I16" s="192">
        <f t="shared" si="1"/>
        <v>0</v>
      </c>
    </row>
    <row r="17" spans="1:9">
      <c r="A17" s="185">
        <f>'ADJ SUMMARY'!A14</f>
        <v>2.0299999999999994</v>
      </c>
      <c r="B17" s="186" t="str">
        <f>'ADJ SUMMARY'!C14</f>
        <v>Uncollectible Expense</v>
      </c>
      <c r="C17" s="187"/>
      <c r="D17" s="187"/>
      <c r="F17" s="192">
        <f>'ADJ SUMMARY'!E14</f>
        <v>0</v>
      </c>
      <c r="G17" s="199">
        <f t="shared" si="0"/>
        <v>0</v>
      </c>
      <c r="H17" s="199"/>
      <c r="I17" s="192">
        <f t="shared" si="1"/>
        <v>0</v>
      </c>
    </row>
    <row r="18" spans="1:9">
      <c r="A18" s="185">
        <f>'ADJ SUMMARY'!A15</f>
        <v>2.0399999999999991</v>
      </c>
      <c r="B18" s="186" t="str">
        <f>'ADJ SUMMARY'!C15</f>
        <v>Regulatory Expense</v>
      </c>
      <c r="C18" s="187"/>
      <c r="D18" s="187"/>
      <c r="F18" s="192">
        <f>'ADJ SUMMARY'!E15</f>
        <v>0</v>
      </c>
      <c r="G18" s="199">
        <f t="shared" si="0"/>
        <v>0</v>
      </c>
      <c r="H18" s="199"/>
      <c r="I18" s="192">
        <f t="shared" si="1"/>
        <v>0</v>
      </c>
    </row>
    <row r="19" spans="1:9">
      <c r="A19" s="185">
        <f>'ADJ SUMMARY'!A16</f>
        <v>2.0499999999999989</v>
      </c>
      <c r="B19" s="186" t="str">
        <f>'ADJ SUMMARY'!C16</f>
        <v>Injuries &amp; Damages</v>
      </c>
      <c r="C19" s="187"/>
      <c r="D19" s="187"/>
      <c r="F19" s="192">
        <f>'ADJ SUMMARY'!E16</f>
        <v>0</v>
      </c>
      <c r="G19" s="199">
        <f t="shared" si="0"/>
        <v>0</v>
      </c>
      <c r="H19" s="199"/>
      <c r="I19" s="192">
        <f t="shared" si="1"/>
        <v>0</v>
      </c>
    </row>
    <row r="20" spans="1:9">
      <c r="A20" s="185">
        <f>'ADJ SUMMARY'!A17</f>
        <v>2.0599999999999987</v>
      </c>
      <c r="B20" s="186" t="str">
        <f>'ADJ SUMMARY'!C17</f>
        <v>FIT / DFIT Expense</v>
      </c>
      <c r="C20" s="187"/>
      <c r="D20" s="187"/>
      <c r="F20" s="192">
        <f>'ADJ SUMMARY'!E17</f>
        <v>0</v>
      </c>
      <c r="G20" s="199">
        <f t="shared" si="0"/>
        <v>0</v>
      </c>
      <c r="H20" s="199"/>
      <c r="I20" s="192">
        <f t="shared" si="1"/>
        <v>0</v>
      </c>
    </row>
    <row r="21" spans="1:9">
      <c r="A21" s="185">
        <f>'ADJ SUMMARY'!A18</f>
        <v>2.0699999999999985</v>
      </c>
      <c r="B21" s="186" t="str">
        <f>'ADJ SUMMARY'!C18</f>
        <v>Office Space Charges to Non-Utility</v>
      </c>
      <c r="C21" s="187"/>
      <c r="D21" s="187"/>
      <c r="F21" s="192">
        <f>'ADJ SUMMARY'!E18</f>
        <v>0</v>
      </c>
      <c r="G21" s="199">
        <f t="shared" si="0"/>
        <v>0</v>
      </c>
      <c r="H21" s="199"/>
      <c r="I21" s="192">
        <f t="shared" si="1"/>
        <v>0</v>
      </c>
    </row>
    <row r="22" spans="1:9">
      <c r="A22" s="185">
        <f>'ADJ SUMMARY'!A19</f>
        <v>2.0799999999999983</v>
      </c>
      <c r="B22" s="186" t="str">
        <f>'ADJ SUMMARY'!C19</f>
        <v>Restate Excise Taxes</v>
      </c>
      <c r="C22" s="187"/>
      <c r="D22" s="187"/>
      <c r="F22" s="192">
        <f>'ADJ SUMMARY'!E19</f>
        <v>0</v>
      </c>
      <c r="G22" s="199">
        <f t="shared" si="0"/>
        <v>0</v>
      </c>
      <c r="H22" s="199"/>
      <c r="I22" s="192">
        <f t="shared" si="1"/>
        <v>0</v>
      </c>
    </row>
    <row r="23" spans="1:9">
      <c r="A23" s="185">
        <f>'ADJ SUMMARY'!A20</f>
        <v>2.0899999999999981</v>
      </c>
      <c r="B23" s="186" t="str">
        <f>'ADJ SUMMARY'!C20</f>
        <v>Net Gains &amp; Losses</v>
      </c>
      <c r="C23" s="187"/>
      <c r="D23" s="187"/>
      <c r="F23" s="192">
        <f>'ADJ SUMMARY'!E20</f>
        <v>0</v>
      </c>
      <c r="G23" s="199">
        <f t="shared" si="0"/>
        <v>0</v>
      </c>
      <c r="H23" s="199"/>
      <c r="I23" s="192">
        <f t="shared" si="1"/>
        <v>0</v>
      </c>
    </row>
    <row r="24" spans="1:9">
      <c r="A24" s="185">
        <f>'ADJ SUMMARY'!A21</f>
        <v>2.0999999999999979</v>
      </c>
      <c r="B24" s="186" t="str">
        <f>'ADJ SUMMARY'!C21</f>
        <v>Weather Normalization / Gas Cost Adjust</v>
      </c>
      <c r="C24" s="187"/>
      <c r="D24" s="187"/>
      <c r="F24" s="192">
        <f>'ADJ SUMMARY'!E21</f>
        <v>0</v>
      </c>
      <c r="G24" s="199">
        <f t="shared" si="0"/>
        <v>0</v>
      </c>
      <c r="H24" s="199"/>
      <c r="I24" s="192">
        <f t="shared" si="1"/>
        <v>0</v>
      </c>
    </row>
    <row r="25" spans="1:9">
      <c r="A25" s="185">
        <f>'ADJ SUMMARY'!A22</f>
        <v>2.1099999999999977</v>
      </c>
      <c r="B25" s="186" t="str">
        <f>'ADJ SUMMARY'!C22</f>
        <v>Eliminate Adder Schedules</v>
      </c>
      <c r="C25" s="187"/>
      <c r="D25" s="187"/>
      <c r="F25" s="192">
        <f>'ADJ SUMMARY'!E22</f>
        <v>0</v>
      </c>
      <c r="G25" s="199">
        <f t="shared" si="0"/>
        <v>0</v>
      </c>
      <c r="H25" s="199"/>
      <c r="I25" s="192">
        <f t="shared" si="1"/>
        <v>0</v>
      </c>
    </row>
    <row r="26" spans="1:9">
      <c r="A26" s="185">
        <f>'ADJ SUMMARY'!A23</f>
        <v>2.1199999999999974</v>
      </c>
      <c r="B26" s="186" t="str">
        <f>'ADJ SUMMARY'!C23</f>
        <v>Misc. Restating Non-Util / Non- Recurring Expense</v>
      </c>
      <c r="C26" s="187"/>
      <c r="D26" s="187"/>
      <c r="F26" s="192">
        <f>'ADJ SUMMARY'!E23</f>
        <v>0</v>
      </c>
      <c r="G26" s="199">
        <f t="shared" si="0"/>
        <v>0</v>
      </c>
      <c r="H26" s="199"/>
      <c r="I26" s="192">
        <f t="shared" si="1"/>
        <v>0</v>
      </c>
    </row>
    <row r="27" spans="1:9">
      <c r="A27" s="185">
        <f>'ADJ SUMMARY'!A24</f>
        <v>2.1299999999999972</v>
      </c>
      <c r="B27" s="186" t="str">
        <f>'ADJ SUMMARY'!C24</f>
        <v>Restating Incentives Expense</v>
      </c>
      <c r="C27" s="187"/>
      <c r="D27" s="187"/>
      <c r="F27" s="192">
        <f>'ADJ SUMMARY'!E24</f>
        <v>0</v>
      </c>
      <c r="G27" s="199">
        <f t="shared" si="0"/>
        <v>0</v>
      </c>
      <c r="H27" s="199"/>
      <c r="I27" s="192">
        <f t="shared" si="1"/>
        <v>0</v>
      </c>
    </row>
    <row r="28" spans="1:9">
      <c r="A28" s="185">
        <f>'ADJ SUMMARY'!A25</f>
        <v>2.139999999999997</v>
      </c>
      <c r="B28" s="186" t="str">
        <f>'ADJ SUMMARY'!C25</f>
        <v>Restate Debt Interest</v>
      </c>
      <c r="C28" s="187"/>
      <c r="D28" s="187"/>
      <c r="F28" s="192">
        <f>'ADJ SUMMARY'!E25</f>
        <v>0</v>
      </c>
      <c r="G28" s="199">
        <f t="shared" si="0"/>
        <v>0</v>
      </c>
      <c r="H28" s="199"/>
      <c r="I28" s="192">
        <f t="shared" si="1"/>
        <v>0</v>
      </c>
    </row>
    <row r="29" spans="1:9">
      <c r="A29" s="185">
        <f>'ADJ SUMMARY'!A26</f>
        <v>2.1499999999999968</v>
      </c>
      <c r="B29" s="186" t="str">
        <f>'ADJ SUMMARY'!C26</f>
        <v>Restate 09.2021 AMA Rate Base to EOP</v>
      </c>
      <c r="C29" s="187"/>
      <c r="D29" s="187"/>
      <c r="F29" s="192">
        <f>'ADJ SUMMARY'!E26</f>
        <v>26495</v>
      </c>
      <c r="G29" s="199">
        <f t="shared" si="0"/>
        <v>26495</v>
      </c>
      <c r="H29" s="199"/>
      <c r="I29" s="192">
        <f t="shared" si="1"/>
        <v>-130</v>
      </c>
    </row>
    <row r="30" spans="1:9">
      <c r="A30" s="185">
        <f>'ADJ SUMMARY'!A27</f>
        <v>2.1599999999999966</v>
      </c>
      <c r="B30" s="186" t="str">
        <f>'ADJ SUMMARY'!C27</f>
        <v>Restate 09.2021 Tax Credit Regulatory Liability to EOP</v>
      </c>
      <c r="C30" s="187"/>
      <c r="D30" s="187"/>
      <c r="F30" s="192">
        <f>'ADJ SUMMARY'!E27</f>
        <v>-12206</v>
      </c>
      <c r="G30" s="199">
        <f t="shared" ref="G30" si="2">SUM(F30:F30)</f>
        <v>-12206</v>
      </c>
      <c r="H30" s="199"/>
      <c r="I30" s="192">
        <f t="shared" si="1"/>
        <v>60</v>
      </c>
    </row>
    <row r="31" spans="1:9">
      <c r="A31" s="185">
        <f>'ADJ SUMMARY'!A30</f>
        <v>3.01</v>
      </c>
      <c r="B31" s="186" t="str">
        <f>'ADJ SUMMARY'!C30</f>
        <v>Pro Forma Revenue Normalization</v>
      </c>
      <c r="C31" s="187"/>
      <c r="D31" s="187"/>
      <c r="F31" s="192">
        <f>'ADJ SUMMARY'!E30</f>
        <v>0</v>
      </c>
      <c r="G31" s="199">
        <f t="shared" si="0"/>
        <v>0</v>
      </c>
      <c r="H31" s="199"/>
      <c r="I31" s="192">
        <f t="shared" si="1"/>
        <v>0</v>
      </c>
    </row>
    <row r="32" spans="1:9">
      <c r="A32" s="185">
        <f>'ADJ SUMMARY'!A31</f>
        <v>3.0199999999999996</v>
      </c>
      <c r="B32" s="186" t="str">
        <f>'ADJ SUMMARY'!C31</f>
        <v>Pro Forma Def. Debits, Credits &amp; Regulatory Amorts</v>
      </c>
      <c r="C32" s="187"/>
      <c r="D32" s="187"/>
      <c r="F32" s="192">
        <f>'ADJ SUMMARY'!E31</f>
        <v>0</v>
      </c>
      <c r="G32" s="199">
        <f t="shared" ref="G32:G48" si="3">SUM(F32:F32)</f>
        <v>0</v>
      </c>
      <c r="H32" s="199"/>
      <c r="I32" s="192">
        <f t="shared" si="1"/>
        <v>0</v>
      </c>
    </row>
    <row r="33" spans="1:9">
      <c r="A33" s="185">
        <f>'ADJ SUMMARY'!A32</f>
        <v>3.0299999999999994</v>
      </c>
      <c r="B33" s="186" t="str">
        <f>'ADJ SUMMARY'!C32</f>
        <v>Pro Forma 2023 ARAM DFIT</v>
      </c>
      <c r="C33" s="187"/>
      <c r="D33" s="187"/>
      <c r="F33" s="192">
        <f>'ADJ SUMMARY'!E32</f>
        <v>0</v>
      </c>
      <c r="G33" s="199">
        <f t="shared" si="3"/>
        <v>0</v>
      </c>
      <c r="H33" s="199"/>
      <c r="I33" s="192">
        <f t="shared" si="1"/>
        <v>0</v>
      </c>
    </row>
    <row r="34" spans="1:9">
      <c r="A34" s="185">
        <f>'ADJ SUMMARY'!A33</f>
        <v>3.0399999999999991</v>
      </c>
      <c r="B34" s="186" t="str">
        <f>'ADJ SUMMARY'!C33</f>
        <v>Pro Forma AMI Amortization</v>
      </c>
      <c r="C34" s="187"/>
      <c r="D34" s="187"/>
      <c r="F34" s="192">
        <f>'ADJ SUMMARY'!E33</f>
        <v>8617</v>
      </c>
      <c r="G34" s="199">
        <f t="shared" si="3"/>
        <v>8617</v>
      </c>
      <c r="H34" s="199"/>
      <c r="I34" s="192">
        <f t="shared" si="1"/>
        <v>-42</v>
      </c>
    </row>
    <row r="35" spans="1:9">
      <c r="A35" s="185">
        <f>'ADJ SUMMARY'!A34</f>
        <v>3.0499999999999989</v>
      </c>
      <c r="B35" s="186" t="str">
        <f>'ADJ SUMMARY'!C34</f>
        <v>Pro Forma Other Amortization</v>
      </c>
      <c r="C35" s="187"/>
      <c r="D35" s="187"/>
      <c r="F35" s="192">
        <f>'ADJ SUMMARY'!E34</f>
        <v>0</v>
      </c>
      <c r="G35" s="199">
        <f t="shared" si="3"/>
        <v>0</v>
      </c>
      <c r="H35" s="199"/>
      <c r="I35" s="192">
        <f t="shared" si="1"/>
        <v>0</v>
      </c>
    </row>
    <row r="36" spans="1:9">
      <c r="A36" s="185">
        <f>'ADJ SUMMARY'!A35</f>
        <v>3.0599999999999987</v>
      </c>
      <c r="B36" s="186" t="str">
        <f>'ADJ SUMMARY'!C35</f>
        <v>Pro Forma LEAP Deferral Amortization</v>
      </c>
      <c r="C36" s="187"/>
      <c r="D36" s="187"/>
      <c r="F36" s="192">
        <f>'ADJ SUMMARY'!E35</f>
        <v>-4202</v>
      </c>
      <c r="G36" s="199">
        <f t="shared" si="3"/>
        <v>-4202</v>
      </c>
      <c r="H36" s="199"/>
      <c r="I36" s="192">
        <f t="shared" si="1"/>
        <v>21</v>
      </c>
    </row>
    <row r="37" spans="1:9">
      <c r="A37" s="185">
        <f>'ADJ SUMMARY'!A36</f>
        <v>3.0699999999999985</v>
      </c>
      <c r="B37" s="186" t="str">
        <f>'ADJ SUMMARY'!C36</f>
        <v>Pro Forma Non-Exec Labor &amp; Union Incentive</v>
      </c>
      <c r="C37" s="187"/>
      <c r="D37" s="187"/>
      <c r="F37" s="192">
        <f>'ADJ SUMMARY'!E36</f>
        <v>0</v>
      </c>
      <c r="G37" s="199">
        <f t="shared" si="3"/>
        <v>0</v>
      </c>
      <c r="H37" s="199"/>
      <c r="I37" s="192">
        <f t="shared" si="1"/>
        <v>0</v>
      </c>
    </row>
    <row r="38" spans="1:9">
      <c r="A38" s="185">
        <f>'ADJ SUMMARY'!A37</f>
        <v>3.0799999999999983</v>
      </c>
      <c r="B38" s="186" t="str">
        <f>'ADJ SUMMARY'!C37</f>
        <v>Pro Forma Labor Exec</v>
      </c>
      <c r="C38" s="187"/>
      <c r="D38" s="187"/>
      <c r="F38" s="192">
        <f>'ADJ SUMMARY'!E37</f>
        <v>0</v>
      </c>
      <c r="G38" s="199">
        <f t="shared" si="3"/>
        <v>0</v>
      </c>
      <c r="H38" s="199"/>
      <c r="I38" s="192">
        <f t="shared" si="1"/>
        <v>0</v>
      </c>
    </row>
    <row r="39" spans="1:9">
      <c r="A39" s="185">
        <f>'ADJ SUMMARY'!A38</f>
        <v>3.0899999999999981</v>
      </c>
      <c r="B39" s="186" t="str">
        <f>'ADJ SUMMARY'!C38</f>
        <v>Pro Forma Employee Benefits</v>
      </c>
      <c r="C39" s="187"/>
      <c r="D39" s="187"/>
      <c r="F39" s="192">
        <f>'ADJ SUMMARY'!E38</f>
        <v>0</v>
      </c>
      <c r="G39" s="199">
        <f t="shared" si="3"/>
        <v>0</v>
      </c>
      <c r="H39" s="199"/>
      <c r="I39" s="192">
        <f t="shared" si="1"/>
        <v>0</v>
      </c>
    </row>
    <row r="40" spans="1:9">
      <c r="A40" s="185">
        <f>'ADJ SUMMARY'!A39</f>
        <v>3.0999999999999979</v>
      </c>
      <c r="B40" s="186" t="str">
        <f>'ADJ SUMMARY'!C39</f>
        <v>Remove LIRAP Labor</v>
      </c>
      <c r="C40" s="187"/>
      <c r="D40" s="187"/>
      <c r="F40" s="192">
        <f>'ADJ SUMMARY'!E39</f>
        <v>0</v>
      </c>
      <c r="G40" s="199">
        <f t="shared" si="3"/>
        <v>0</v>
      </c>
      <c r="H40" s="199"/>
      <c r="I40" s="192">
        <f t="shared" si="1"/>
        <v>0</v>
      </c>
    </row>
    <row r="41" spans="1:9">
      <c r="A41" s="185">
        <f>'ADJ SUMMARY'!A40</f>
        <v>3.1099999999999977</v>
      </c>
      <c r="B41" s="186" t="str">
        <f>'ADJ SUMMARY'!C40</f>
        <v>Pro Forma Property Tax</v>
      </c>
      <c r="C41" s="187"/>
      <c r="D41" s="187"/>
      <c r="F41" s="192">
        <f>'ADJ SUMMARY'!E40</f>
        <v>0</v>
      </c>
      <c r="G41" s="199">
        <f t="shared" si="3"/>
        <v>0</v>
      </c>
      <c r="H41" s="199"/>
      <c r="I41" s="192">
        <f t="shared" si="1"/>
        <v>0</v>
      </c>
    </row>
    <row r="42" spans="1:9">
      <c r="A42" s="185">
        <f>'ADJ SUMMARY'!A41</f>
        <v>3.1199999999999974</v>
      </c>
      <c r="B42" s="186" t="str">
        <f>'ADJ SUMMARY'!C41</f>
        <v>Pro Forma Insurance Expense</v>
      </c>
      <c r="C42" s="187"/>
      <c r="D42" s="187"/>
      <c r="F42" s="192">
        <f>'ADJ SUMMARY'!E41</f>
        <v>0</v>
      </c>
      <c r="G42" s="199">
        <f t="shared" si="3"/>
        <v>0</v>
      </c>
      <c r="H42" s="199"/>
      <c r="I42" s="192">
        <f t="shared" si="1"/>
        <v>0</v>
      </c>
    </row>
    <row r="43" spans="1:9">
      <c r="A43" s="185">
        <f>'ADJ SUMMARY'!A42</f>
        <v>3.1299999999999972</v>
      </c>
      <c r="B43" s="186" t="str">
        <f>'ADJ SUMMARY'!C42</f>
        <v>Pro Forma IS/IT Expense</v>
      </c>
      <c r="C43" s="187"/>
      <c r="D43" s="187"/>
      <c r="F43" s="192">
        <f>'ADJ SUMMARY'!E42</f>
        <v>0</v>
      </c>
      <c r="G43" s="199">
        <f t="shared" si="3"/>
        <v>0</v>
      </c>
      <c r="H43" s="199"/>
      <c r="I43" s="192">
        <f t="shared" si="1"/>
        <v>0</v>
      </c>
    </row>
    <row r="44" spans="1:9">
      <c r="A44" s="185">
        <f>'ADJ SUMMARY'!A43</f>
        <v>3.139999999999997</v>
      </c>
      <c r="B44" s="186" t="str">
        <f>'ADJ SUMMARY'!C43</f>
        <v>Pro Forma Misc O&amp;M Exp</v>
      </c>
      <c r="C44" s="187"/>
      <c r="D44" s="187"/>
      <c r="F44" s="192">
        <f>'ADJ SUMMARY'!E43</f>
        <v>0</v>
      </c>
      <c r="G44" s="199">
        <f t="shared" si="3"/>
        <v>0</v>
      </c>
      <c r="H44" s="199"/>
      <c r="I44" s="192">
        <f t="shared" si="1"/>
        <v>0</v>
      </c>
    </row>
    <row r="45" spans="1:9">
      <c r="A45" s="185">
        <f>'ADJ SUMMARY'!A44</f>
        <v>3.1499999999999968</v>
      </c>
      <c r="B45" s="186" t="str">
        <f>'ADJ SUMMARY'!C44</f>
        <v>Pro Form 09.2021 EOP Rate Base to 12.31.2021 EOP</v>
      </c>
      <c r="C45" s="187"/>
      <c r="D45" s="187"/>
      <c r="F45" s="192">
        <f>'ADJ SUMMARY'!E44</f>
        <v>10748</v>
      </c>
      <c r="G45" s="199">
        <f t="shared" si="3"/>
        <v>10748</v>
      </c>
      <c r="H45" s="199"/>
      <c r="I45" s="192">
        <f t="shared" si="1"/>
        <v>-53</v>
      </c>
    </row>
    <row r="46" spans="1:9">
      <c r="A46" s="185">
        <f>'ADJ SUMMARY'!A45</f>
        <v>4.01</v>
      </c>
      <c r="B46" s="186" t="str">
        <f>'ADJ SUMMARY'!C45</f>
        <v>Provisional Capital Groups 2022 Additions EOP</v>
      </c>
      <c r="C46" s="187"/>
      <c r="D46" s="187"/>
      <c r="F46" s="192">
        <f>'ADJ SUMMARY'!E45</f>
        <v>32039</v>
      </c>
      <c r="G46" s="199">
        <f t="shared" si="3"/>
        <v>32039</v>
      </c>
      <c r="H46" s="199"/>
      <c r="I46" s="192">
        <f t="shared" si="1"/>
        <v>-157</v>
      </c>
    </row>
    <row r="47" spans="1:9">
      <c r="A47" s="185">
        <f>'ADJ SUMMARY'!A46</f>
        <v>4.0199999999999996</v>
      </c>
      <c r="B47" s="186" t="str">
        <f>'ADJ SUMMARY'!C46</f>
        <v>Provisional Capital Groups 2023 Additions AMA</v>
      </c>
      <c r="C47" s="187"/>
      <c r="D47" s="187"/>
      <c r="F47" s="192">
        <f>'ADJ SUMMARY'!E46</f>
        <v>6587</v>
      </c>
      <c r="G47" s="199">
        <f t="shared" si="3"/>
        <v>6587</v>
      </c>
      <c r="H47" s="199"/>
      <c r="I47" s="192">
        <f t="shared" si="1"/>
        <v>-32</v>
      </c>
    </row>
    <row r="48" spans="1:9">
      <c r="A48" s="185">
        <f>'ADJ SUMMARY'!A47</f>
        <v>4.0299999999999994</v>
      </c>
      <c r="B48" s="186" t="str">
        <f>'ADJ SUMMARY'!C47</f>
        <v>2022-2023 Capital O&amp;M Offsets &amp; Revenue</v>
      </c>
      <c r="C48" s="187"/>
      <c r="D48" s="187"/>
      <c r="F48" s="192">
        <f>'ADJ SUMMARY'!E47</f>
        <v>0</v>
      </c>
      <c r="G48" s="199">
        <f t="shared" si="3"/>
        <v>0</v>
      </c>
      <c r="H48" s="199"/>
      <c r="I48" s="192">
        <f t="shared" si="1"/>
        <v>0</v>
      </c>
    </row>
    <row r="49" spans="1:9">
      <c r="A49" s="185">
        <f>'ADJ SUMMARY'!A54</f>
        <v>5.01</v>
      </c>
      <c r="B49" s="186" t="str">
        <f>'ADJ SUMMARY'!C54</f>
        <v>Pro Forma 2024 AMI Amortization</v>
      </c>
      <c r="C49" s="187"/>
      <c r="D49" s="187"/>
      <c r="F49" s="192">
        <f>'ADJ SUMMARY'!E54</f>
        <v>-848</v>
      </c>
      <c r="G49" s="199">
        <f t="shared" ref="G49:G50" si="4">SUM(F49:F49)</f>
        <v>-848</v>
      </c>
      <c r="H49" s="199"/>
      <c r="I49" s="192">
        <f t="shared" si="1"/>
        <v>4</v>
      </c>
    </row>
    <row r="50" spans="1:9">
      <c r="A50" s="185">
        <f>'ADJ SUMMARY'!A55</f>
        <v>5.0199999999999996</v>
      </c>
      <c r="B50" s="186" t="str">
        <f>'ADJ SUMMARY'!C55</f>
        <v>Pro Forma Non-Exec Labor &amp; Union Incentive</v>
      </c>
      <c r="C50" s="187"/>
      <c r="D50" s="187"/>
      <c r="F50" s="192">
        <f>'ADJ SUMMARY'!E55</f>
        <v>0</v>
      </c>
      <c r="G50" s="199">
        <f t="shared" si="4"/>
        <v>0</v>
      </c>
      <c r="H50" s="199"/>
      <c r="I50" s="192">
        <f t="shared" si="1"/>
        <v>0</v>
      </c>
    </row>
    <row r="51" spans="1:9">
      <c r="A51" s="185">
        <f>'ADJ SUMMARY'!A56</f>
        <v>5.0299999999999994</v>
      </c>
      <c r="B51" s="186" t="str">
        <f>'ADJ SUMMARY'!C56</f>
        <v>Pro Forma Employee Benefits</v>
      </c>
      <c r="C51" s="187"/>
      <c r="D51" s="187"/>
      <c r="F51" s="192">
        <f>'ADJ SUMMARY'!E56</f>
        <v>0</v>
      </c>
      <c r="G51" s="199">
        <f t="shared" ref="G51:G58" si="5">SUM(F51:F51)</f>
        <v>0</v>
      </c>
      <c r="H51" s="199"/>
      <c r="I51" s="192">
        <f t="shared" si="1"/>
        <v>0</v>
      </c>
    </row>
    <row r="52" spans="1:9">
      <c r="A52" s="185">
        <f>'ADJ SUMMARY'!A57</f>
        <v>5.0399999999999991</v>
      </c>
      <c r="B52" s="186" t="str">
        <f>'ADJ SUMMARY'!C57</f>
        <v>Pro Forma Property Tax</v>
      </c>
      <c r="C52" s="187"/>
      <c r="D52" s="187"/>
      <c r="F52" s="192">
        <f>'ADJ SUMMARY'!E57</f>
        <v>0</v>
      </c>
      <c r="G52" s="199">
        <f t="shared" si="5"/>
        <v>0</v>
      </c>
      <c r="H52" s="199"/>
      <c r="I52" s="192">
        <f t="shared" si="1"/>
        <v>0</v>
      </c>
    </row>
    <row r="53" spans="1:9">
      <c r="A53" s="185">
        <f>'ADJ SUMMARY'!A58</f>
        <v>5.0499999999999989</v>
      </c>
      <c r="B53" s="186" t="str">
        <f>'ADJ SUMMARY'!C58</f>
        <v>Pro Forma Insurance Expense</v>
      </c>
      <c r="C53" s="187"/>
      <c r="D53" s="187"/>
      <c r="F53" s="192">
        <f>'ADJ SUMMARY'!E58</f>
        <v>0</v>
      </c>
      <c r="G53" s="199">
        <f t="shared" si="5"/>
        <v>0</v>
      </c>
      <c r="H53" s="199"/>
      <c r="I53" s="192">
        <f t="shared" si="1"/>
        <v>0</v>
      </c>
    </row>
    <row r="54" spans="1:9">
      <c r="A54" s="185">
        <f>'ADJ SUMMARY'!A59</f>
        <v>5.0599999999999987</v>
      </c>
      <c r="B54" s="186" t="str">
        <f>'ADJ SUMMARY'!C59</f>
        <v>Pro Forma LEAP Deferral Amortization</v>
      </c>
      <c r="C54" s="187"/>
      <c r="D54" s="187"/>
      <c r="F54" s="192">
        <f>'ADJ SUMMARY'!E59</f>
        <v>-1250</v>
      </c>
      <c r="G54" s="199">
        <f t="shared" si="5"/>
        <v>-1250</v>
      </c>
      <c r="H54" s="199"/>
      <c r="I54" s="192">
        <f t="shared" si="1"/>
        <v>6</v>
      </c>
    </row>
    <row r="55" spans="1:9">
      <c r="A55" s="185">
        <f>'ADJ SUMMARY'!A60</f>
        <v>5.0699999999999985</v>
      </c>
      <c r="B55" s="186" t="str">
        <f>'ADJ SUMMARY'!C60</f>
        <v>Pro Forma Misc O&amp;M Exp</v>
      </c>
      <c r="C55" s="187"/>
      <c r="D55" s="187"/>
      <c r="F55" s="192">
        <f>'ADJ SUMMARY'!E60</f>
        <v>0</v>
      </c>
      <c r="G55" s="199">
        <f t="shared" si="5"/>
        <v>0</v>
      </c>
      <c r="H55" s="199"/>
      <c r="I55" s="192">
        <f t="shared" si="1"/>
        <v>0</v>
      </c>
    </row>
    <row r="56" spans="1:9">
      <c r="A56" s="185">
        <f>'ADJ SUMMARY'!A61</f>
        <v>5.0799999999999983</v>
      </c>
      <c r="B56" s="186" t="str">
        <f>'ADJ SUMMARY'!C61</f>
        <v>Provisional Capital Groups 2024 Additions AMA</v>
      </c>
      <c r="C56" s="187"/>
      <c r="D56" s="187"/>
      <c r="F56" s="192">
        <f>'ADJ SUMMARY'!E61</f>
        <v>22198</v>
      </c>
      <c r="G56" s="199">
        <f t="shared" si="5"/>
        <v>22198</v>
      </c>
      <c r="H56" s="199"/>
      <c r="I56" s="192">
        <f t="shared" si="1"/>
        <v>-109</v>
      </c>
    </row>
    <row r="57" spans="1:9">
      <c r="A57" s="185">
        <f>'ADJ SUMMARY'!A62</f>
        <v>5.0899999999999981</v>
      </c>
      <c r="B57" s="186" t="str">
        <f>'ADJ SUMMARY'!C62</f>
        <v>Prov. 2024 Capital O&amp;M Offsets &amp; Revenues</v>
      </c>
      <c r="C57" s="187"/>
      <c r="D57" s="187"/>
      <c r="F57" s="192">
        <f>'ADJ SUMMARY'!E62</f>
        <v>0</v>
      </c>
      <c r="G57" s="199">
        <f t="shared" si="5"/>
        <v>0</v>
      </c>
      <c r="H57" s="199"/>
      <c r="I57" s="192">
        <f t="shared" si="1"/>
        <v>0</v>
      </c>
    </row>
    <row r="58" spans="1:9">
      <c r="A58" s="185">
        <f>'ADJ SUMMARY'!A53</f>
        <v>5</v>
      </c>
      <c r="B58" s="186" t="str">
        <f>'ADJ SUMMARY'!C53</f>
        <v>Pro Forma 2024 ARAM DFIT</v>
      </c>
      <c r="C58" s="187"/>
      <c r="D58" s="187"/>
      <c r="F58" s="192">
        <f>'ADJ SUMMARY'!E53</f>
        <v>0</v>
      </c>
      <c r="G58" s="199">
        <f t="shared" si="5"/>
        <v>0</v>
      </c>
      <c r="H58" s="199"/>
      <c r="I58" s="192">
        <f t="shared" si="1"/>
        <v>0</v>
      </c>
    </row>
    <row r="59" spans="1:9">
      <c r="B59" s="193"/>
      <c r="C59" s="187"/>
      <c r="D59" s="187"/>
      <c r="E59" s="450">
        <f>SUM(E11:E48)</f>
        <v>446796</v>
      </c>
      <c r="F59" s="450">
        <f>SUM(F11:F48)</f>
        <v>68146</v>
      </c>
      <c r="G59" s="450">
        <f>SUM(G11:G48)</f>
        <v>514942</v>
      </c>
      <c r="H59" s="200"/>
      <c r="I59" s="450">
        <f>SUM(I11:I48)</f>
        <v>-82.920000000000073</v>
      </c>
    </row>
    <row r="60" spans="1:9">
      <c r="B60" s="193"/>
      <c r="C60" s="187"/>
      <c r="D60" s="187"/>
      <c r="E60" s="200"/>
      <c r="F60" s="201"/>
      <c r="G60" s="202"/>
      <c r="H60" s="199"/>
      <c r="I60" s="199"/>
    </row>
    <row r="61" spans="1:9">
      <c r="B61" s="193"/>
      <c r="C61" s="187"/>
      <c r="D61" s="187"/>
      <c r="E61" s="200"/>
      <c r="F61" s="201"/>
      <c r="G61" s="202"/>
      <c r="H61" s="199"/>
      <c r="I61" s="199"/>
    </row>
    <row r="62" spans="1:9">
      <c r="C62" s="187"/>
      <c r="D62" s="187"/>
      <c r="E62" s="200"/>
      <c r="F62" s="200"/>
      <c r="G62" s="200"/>
      <c r="H62" s="199"/>
      <c r="I62" s="199"/>
    </row>
    <row r="63" spans="1:9">
      <c r="B63" s="186" t="s">
        <v>122</v>
      </c>
      <c r="C63" s="187"/>
      <c r="D63" s="187"/>
      <c r="E63" s="208">
        <f>'RR SUMMARY'!Q12</f>
        <v>2.3400000000000001E-2</v>
      </c>
      <c r="F63" s="208">
        <f>E63-I63</f>
        <v>2.3400000000000001E-2</v>
      </c>
      <c r="G63" s="208"/>
      <c r="H63" s="207"/>
      <c r="I63" s="208"/>
    </row>
    <row r="64" spans="1:9">
      <c r="C64" s="187"/>
      <c r="D64" s="187"/>
      <c r="E64" s="200"/>
      <c r="F64" s="200"/>
      <c r="G64" s="200"/>
      <c r="H64" s="199"/>
      <c r="I64" s="199"/>
    </row>
    <row r="65" spans="2:10">
      <c r="B65" s="186" t="s">
        <v>118</v>
      </c>
      <c r="C65" s="187"/>
      <c r="D65" s="187"/>
      <c r="E65" s="200">
        <f>E59*E63</f>
        <v>10455.026400000001</v>
      </c>
      <c r="F65" s="200">
        <f>F59*F63</f>
        <v>1594.6164000000001</v>
      </c>
      <c r="G65" s="200">
        <f>SUM(E65:F65)</f>
        <v>12049.642800000001</v>
      </c>
      <c r="H65" s="199"/>
      <c r="I65" s="200">
        <f>SUM(I11:I48)</f>
        <v>-82.920000000000073</v>
      </c>
    </row>
    <row r="66" spans="2:10">
      <c r="C66" s="187"/>
      <c r="D66" s="187"/>
      <c r="E66" s="200"/>
      <c r="F66" s="200"/>
      <c r="G66" s="200"/>
      <c r="H66" s="199"/>
      <c r="I66" s="200"/>
    </row>
    <row r="67" spans="2:10">
      <c r="B67" s="186" t="s">
        <v>206</v>
      </c>
      <c r="C67" s="187"/>
      <c r="D67" s="652" t="s">
        <v>574</v>
      </c>
      <c r="E67" s="1035">
        <v>11648</v>
      </c>
      <c r="F67" s="204"/>
      <c r="G67" s="203">
        <f>SUM(E67:F67)</f>
        <v>11648</v>
      </c>
      <c r="H67" s="199"/>
      <c r="I67" s="246"/>
    </row>
    <row r="68" spans="2:10">
      <c r="C68" s="187"/>
      <c r="D68" s="187"/>
      <c r="E68" s="200"/>
      <c r="F68" s="200"/>
      <c r="G68" s="200"/>
      <c r="H68" s="199"/>
      <c r="I68" s="247"/>
    </row>
    <row r="69" spans="2:10">
      <c r="B69" s="186" t="s">
        <v>119</v>
      </c>
      <c r="C69" s="187"/>
      <c r="D69" s="187"/>
      <c r="E69" s="200">
        <f>E65-E67</f>
        <v>-1192.9735999999994</v>
      </c>
      <c r="F69" s="200">
        <f>F65-F67</f>
        <v>1594.6164000000001</v>
      </c>
      <c r="G69" s="200">
        <f>SUM(E69:F69)</f>
        <v>401.64280000000076</v>
      </c>
      <c r="H69" s="199"/>
      <c r="I69" s="247"/>
    </row>
    <row r="70" spans="2:10">
      <c r="B70" s="186" t="s">
        <v>120</v>
      </c>
      <c r="D70" s="187"/>
      <c r="E70" s="206">
        <v>0.21</v>
      </c>
      <c r="F70" s="206">
        <v>0.21</v>
      </c>
      <c r="G70" s="206"/>
      <c r="H70" s="207"/>
      <c r="I70" s="206"/>
    </row>
    <row r="71" spans="2:10" ht="13.5" thickBot="1">
      <c r="D71" s="187"/>
      <c r="E71" s="200"/>
      <c r="F71" s="200"/>
      <c r="G71" s="200"/>
      <c r="H71" s="199"/>
      <c r="I71" s="200"/>
    </row>
    <row r="72" spans="2:10" ht="13.5" thickBot="1">
      <c r="B72" s="186" t="s">
        <v>121</v>
      </c>
      <c r="D72" s="187"/>
      <c r="E72" s="1036">
        <f>ROUND(E69*-E70,0)</f>
        <v>251</v>
      </c>
      <c r="F72" s="205">
        <f>ROUND(F69*-F70,0)</f>
        <v>-335</v>
      </c>
      <c r="G72" s="205">
        <f>SUM(E72:F72)</f>
        <v>-84</v>
      </c>
      <c r="H72" s="199"/>
      <c r="I72" s="205">
        <f>I65</f>
        <v>-82.920000000000073</v>
      </c>
      <c r="J72" s="439" t="s">
        <v>388</v>
      </c>
    </row>
    <row r="73" spans="2:10">
      <c r="E73" s="1037">
        <f>'ADJ DETAIL INPUT'!V10</f>
        <v>2.139999999999997</v>
      </c>
      <c r="F73" s="194"/>
      <c r="J73" s="195">
        <f>I72-'ADJ DETAIL INPUT'!V53-'ADJ DETAIL INPUT'!AT54</f>
        <v>0.94944399999997131</v>
      </c>
    </row>
    <row r="74" spans="2:10" ht="13.5" thickBot="1">
      <c r="E74" s="1038" t="s">
        <v>20</v>
      </c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Z98"/>
  <sheetViews>
    <sheetView workbookViewId="0"/>
  </sheetViews>
  <sheetFormatPr defaultColWidth="10.5703125" defaultRowHeight="12"/>
  <cols>
    <col min="1" max="1" width="5.5703125" style="152" customWidth="1"/>
    <col min="2" max="3" width="1.5703125" style="128" customWidth="1"/>
    <col min="4" max="4" width="28.5703125" style="128" customWidth="1"/>
    <col min="5" max="5" width="17.42578125" style="130" customWidth="1"/>
    <col min="6" max="52" width="20.42578125" style="130" customWidth="1"/>
    <col min="53" max="16384" width="10.5703125" style="128"/>
  </cols>
  <sheetData>
    <row r="1" spans="1:52">
      <c r="F1" s="177" t="s">
        <v>198</v>
      </c>
      <c r="G1" s="177" t="s">
        <v>198</v>
      </c>
      <c r="H1" s="177" t="s">
        <v>198</v>
      </c>
      <c r="I1" s="177" t="s">
        <v>198</v>
      </c>
      <c r="J1" s="177" t="s">
        <v>198</v>
      </c>
      <c r="K1" s="177" t="s">
        <v>198</v>
      </c>
      <c r="L1" s="177" t="s">
        <v>198</v>
      </c>
      <c r="M1" s="177" t="s">
        <v>198</v>
      </c>
      <c r="N1" s="177" t="s">
        <v>198</v>
      </c>
      <c r="O1" s="177" t="s">
        <v>198</v>
      </c>
      <c r="P1" s="177" t="s">
        <v>198</v>
      </c>
      <c r="Q1" s="177" t="s">
        <v>198</v>
      </c>
      <c r="R1" s="177" t="s">
        <v>198</v>
      </c>
      <c r="S1" s="177" t="s">
        <v>198</v>
      </c>
      <c r="T1" s="177" t="s">
        <v>198</v>
      </c>
      <c r="U1" s="177" t="s">
        <v>198</v>
      </c>
      <c r="V1" s="177" t="s">
        <v>198</v>
      </c>
      <c r="W1" s="177" t="s">
        <v>198</v>
      </c>
      <c r="X1" s="177" t="s">
        <v>198</v>
      </c>
      <c r="Y1" s="177" t="s">
        <v>198</v>
      </c>
      <c r="Z1" s="177" t="s">
        <v>198</v>
      </c>
      <c r="AA1" s="177" t="s">
        <v>198</v>
      </c>
      <c r="AB1" s="177" t="s">
        <v>198</v>
      </c>
      <c r="AC1" s="177" t="s">
        <v>198</v>
      </c>
      <c r="AD1" s="177" t="s">
        <v>198</v>
      </c>
      <c r="AE1" s="177" t="s">
        <v>198</v>
      </c>
      <c r="AF1" s="177" t="s">
        <v>198</v>
      </c>
      <c r="AG1" s="177" t="s">
        <v>198</v>
      </c>
      <c r="AH1" s="177" t="s">
        <v>198</v>
      </c>
      <c r="AI1" s="177" t="s">
        <v>198</v>
      </c>
      <c r="AJ1" s="177" t="s">
        <v>198</v>
      </c>
      <c r="AK1" s="177" t="s">
        <v>198</v>
      </c>
      <c r="AL1" s="177" t="s">
        <v>198</v>
      </c>
      <c r="AM1" s="177" t="s">
        <v>198</v>
      </c>
      <c r="AN1" s="177" t="s">
        <v>198</v>
      </c>
      <c r="AO1" s="177" t="s">
        <v>198</v>
      </c>
      <c r="AP1" s="177" t="s">
        <v>198</v>
      </c>
      <c r="AQ1" s="177" t="s">
        <v>198</v>
      </c>
      <c r="AR1" s="177" t="s">
        <v>198</v>
      </c>
      <c r="AS1" s="177" t="s">
        <v>198</v>
      </c>
      <c r="AT1" s="177" t="s">
        <v>198</v>
      </c>
      <c r="AU1" s="177" t="s">
        <v>198</v>
      </c>
      <c r="AV1" s="177" t="s">
        <v>198</v>
      </c>
      <c r="AW1" s="177" t="s">
        <v>198</v>
      </c>
      <c r="AX1" s="177" t="s">
        <v>198</v>
      </c>
      <c r="AY1" s="177" t="s">
        <v>198</v>
      </c>
      <c r="AZ1" s="177" t="s">
        <v>198</v>
      </c>
    </row>
    <row r="2" spans="1:52" ht="12.75" customHeight="1">
      <c r="A2" s="127" t="str">
        <f>'ADJ DETAIL INPUT'!A2</f>
        <v>AVISTA UTILITIES</v>
      </c>
      <c r="E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</row>
    <row r="3" spans="1:52" ht="12.75" customHeight="1">
      <c r="A3" s="127" t="str">
        <f>'ADJ DETAIL INPUT'!A3</f>
        <v>WASHINGTON NATURAL GAS</v>
      </c>
      <c r="E3" s="129"/>
    </row>
    <row r="4" spans="1:52" ht="12.75" customHeight="1">
      <c r="A4" s="127" t="str">
        <f>'ADJ DETAIL INPUT'!A4</f>
        <v>TWELVE MONTHS ENDED SEPTEMBER 30, 2021</v>
      </c>
      <c r="E4" s="132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</row>
    <row r="5" spans="1:52">
      <c r="A5" s="127" t="str">
        <f>'ADJ DETAIL INPUT'!A5</f>
        <v xml:space="preserve">(000'S OF DOLLARS)   </v>
      </c>
      <c r="B5" s="127"/>
      <c r="C5" s="127"/>
      <c r="D5" s="127"/>
      <c r="E5" s="127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</row>
    <row r="6" spans="1:52" ht="12.75" customHeight="1">
      <c r="A6" s="127"/>
    </row>
    <row r="7" spans="1:52" s="135" customFormat="1">
      <c r="A7" s="134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</row>
    <row r="8" spans="1:52" s="135" customFormat="1" ht="12" customHeight="1">
      <c r="A8" s="137"/>
      <c r="B8" s="138"/>
      <c r="C8" s="139"/>
      <c r="D8" s="140"/>
      <c r="E8" s="141" t="str">
        <f>'ADJ DETAIL INPUT'!E7</f>
        <v>Per</v>
      </c>
      <c r="F8" s="141" t="str">
        <f>'ADJ DETAIL INPUT'!F7</f>
        <v xml:space="preserve">Deferred </v>
      </c>
      <c r="G8" s="141" t="str">
        <f>'ADJ DETAIL INPUT'!G7</f>
        <v>Deferred</v>
      </c>
      <c r="H8" s="141" t="str">
        <f>'ADJ DETAIL INPUT'!H7</f>
        <v>Working</v>
      </c>
      <c r="I8" s="141" t="str">
        <f>'ADJ DETAIL INPUT'!I7</f>
        <v xml:space="preserve">Eliminate </v>
      </c>
      <c r="J8" s="141" t="str">
        <f>'ADJ DETAIL INPUT'!J7</f>
        <v>Restate</v>
      </c>
      <c r="K8" s="141" t="str">
        <f>'ADJ DETAIL INPUT'!K7</f>
        <v>Uncollectible</v>
      </c>
      <c r="L8" s="141" t="str">
        <f>'ADJ DETAIL INPUT'!L7</f>
        <v>Regulatory</v>
      </c>
      <c r="M8" s="141" t="str">
        <f>'ADJ DETAIL INPUT'!M7</f>
        <v>Injuries</v>
      </c>
      <c r="N8" s="141" t="str">
        <f>'ADJ DETAIL INPUT'!N7</f>
        <v xml:space="preserve">FIT / </v>
      </c>
      <c r="O8" s="141" t="str">
        <f>'ADJ DETAIL INPUT'!O7</f>
        <v>Office Space</v>
      </c>
      <c r="P8" s="141" t="str">
        <f>'ADJ DETAIL INPUT'!P7</f>
        <v>Restate</v>
      </c>
      <c r="Q8" s="141" t="str">
        <f>'ADJ DETAIL INPUT'!Q7</f>
        <v>Net</v>
      </c>
      <c r="R8" s="141" t="str">
        <f>'ADJ DETAIL INPUT'!R7</f>
        <v xml:space="preserve">Weather </v>
      </c>
      <c r="S8" s="141" t="str">
        <f>'ADJ DETAIL INPUT'!S7</f>
        <v>Eliminate</v>
      </c>
      <c r="T8" s="141" t="str">
        <f>'ADJ DETAIL INPUT'!T7</f>
        <v>Misc. Restating</v>
      </c>
      <c r="U8" s="141" t="str">
        <f>'ADJ DETAIL INPUT'!U7</f>
        <v>Restating</v>
      </c>
      <c r="V8" s="141" t="str">
        <f>'ADJ DETAIL INPUT'!V7</f>
        <v>Restate</v>
      </c>
      <c r="W8" s="141" t="str">
        <f>'ADJ DETAIL INPUT'!W7</f>
        <v>Restate 09.2021</v>
      </c>
      <c r="X8" s="141" t="str">
        <f>'ADJ DETAIL INPUT'!X7</f>
        <v>Restate 09.2021</v>
      </c>
      <c r="Y8" s="141" t="str">
        <f>'ADJ DETAIL INPUT'!AA7</f>
        <v>Pro Forma</v>
      </c>
      <c r="Z8" s="141" t="str">
        <f>'ADJ DETAIL INPUT'!AB7</f>
        <v xml:space="preserve">Pro Forma </v>
      </c>
      <c r="AA8" s="141" t="str">
        <f>'ADJ DETAIL INPUT'!AC7</f>
        <v>Pro Forma</v>
      </c>
      <c r="AB8" s="141" t="str">
        <f>'ADJ DETAIL INPUT'!AD7</f>
        <v>Pro Forma</v>
      </c>
      <c r="AC8" s="141" t="str">
        <f>'ADJ DETAIL INPUT'!AE7</f>
        <v>Pro Forma</v>
      </c>
      <c r="AD8" s="141" t="str">
        <f>'ADJ DETAIL INPUT'!AF7</f>
        <v>Pro Forma</v>
      </c>
      <c r="AE8" s="141" t="str">
        <f>'ADJ DETAIL INPUT'!AG7</f>
        <v xml:space="preserve">Pro Forma </v>
      </c>
      <c r="AF8" s="141" t="str">
        <f>'ADJ DETAIL INPUT'!AH7</f>
        <v>Pro Forma</v>
      </c>
      <c r="AG8" s="141" t="str">
        <f>'ADJ DETAIL INPUT'!AI7</f>
        <v>Pro Forma</v>
      </c>
      <c r="AH8" s="141" t="str">
        <f>'ADJ DETAIL INPUT'!AJ7</f>
        <v xml:space="preserve">Remove </v>
      </c>
      <c r="AI8" s="141" t="str">
        <f>'ADJ DETAIL INPUT'!AK7</f>
        <v>Pro Forma</v>
      </c>
      <c r="AJ8" s="141" t="str">
        <f>'ADJ DETAIL INPUT'!AL7</f>
        <v>Pro Forma</v>
      </c>
      <c r="AK8" s="141" t="str">
        <f>'ADJ DETAIL INPUT'!AM7</f>
        <v>Pro Forma</v>
      </c>
      <c r="AL8" s="141" t="str">
        <f>'ADJ DETAIL INPUT'!AN7</f>
        <v>Pro Forma</v>
      </c>
      <c r="AM8" s="141" t="str">
        <f>'ADJ DETAIL INPUT'!AO7</f>
        <v xml:space="preserve">Pro Form 09.2021 </v>
      </c>
      <c r="AN8" s="141" t="str">
        <f>'ADJ DETAIL INPUT'!AP7</f>
        <v>Provisional</v>
      </c>
      <c r="AO8" s="141" t="str">
        <f>'ADJ DETAIL INPUT'!AQ7</f>
        <v>Provisional</v>
      </c>
      <c r="AP8" s="141" t="str">
        <f>'ADJ DETAIL INPUT'!AR7</f>
        <v>2022-2023</v>
      </c>
      <c r="AQ8" s="141" t="str">
        <f>'ADJ DETAIL INPUT'!AV7</f>
        <v>Pro Forma</v>
      </c>
      <c r="AR8" s="141" t="str">
        <f>'ADJ DETAIL INPUT'!AW7</f>
        <v>Pro Forma</v>
      </c>
      <c r="AS8" s="141" t="str">
        <f>'ADJ DETAIL INPUT'!AX7</f>
        <v xml:space="preserve">Pro Forma </v>
      </c>
      <c r="AT8" s="141" t="str">
        <f>'ADJ DETAIL INPUT'!AY7</f>
        <v>Pro Forma</v>
      </c>
      <c r="AU8" s="141" t="str">
        <f>'ADJ DETAIL INPUT'!AZ7</f>
        <v>Pro Forma</v>
      </c>
      <c r="AV8" s="141" t="str">
        <f>'ADJ DETAIL INPUT'!BA7</f>
        <v>Pro Forma</v>
      </c>
      <c r="AW8" s="141" t="str">
        <f>'ADJ DETAIL INPUT'!BB7</f>
        <v>Pro Forma</v>
      </c>
      <c r="AX8" s="141" t="str">
        <f>'ADJ DETAIL INPUT'!BC7</f>
        <v>Pro Forma</v>
      </c>
      <c r="AY8" s="141" t="str">
        <f>'ADJ DETAIL INPUT'!BD7</f>
        <v>Provisional</v>
      </c>
      <c r="AZ8" s="141" t="str">
        <f>'ADJ DETAIL INPUT'!BE7</f>
        <v>Prov. 2024 Capital</v>
      </c>
    </row>
    <row r="9" spans="1:52" s="135" customFormat="1">
      <c r="A9" s="142" t="s">
        <v>7</v>
      </c>
      <c r="B9" s="143"/>
      <c r="C9" s="144"/>
      <c r="D9" s="145"/>
      <c r="E9" s="146" t="str">
        <f>'ADJ DETAIL INPUT'!E8</f>
        <v xml:space="preserve">Results </v>
      </c>
      <c r="F9" s="146" t="str">
        <f>'ADJ DETAIL INPUT'!F8</f>
        <v>FIT</v>
      </c>
      <c r="G9" s="146" t="str">
        <f>'ADJ DETAIL INPUT'!G8</f>
        <v xml:space="preserve">Debits and </v>
      </c>
      <c r="H9" s="146" t="str">
        <f>'ADJ DETAIL INPUT'!H8</f>
        <v>Capital</v>
      </c>
      <c r="I9" s="146" t="str">
        <f>'ADJ DETAIL INPUT'!I8</f>
        <v xml:space="preserve">B &amp; O </v>
      </c>
      <c r="J9" s="146" t="str">
        <f>'ADJ DETAIL INPUT'!J8</f>
        <v>Property</v>
      </c>
      <c r="K9" s="146" t="str">
        <f>'ADJ DETAIL INPUT'!K8</f>
        <v>Expense</v>
      </c>
      <c r="L9" s="146" t="str">
        <f>'ADJ DETAIL INPUT'!L8</f>
        <v>Expense</v>
      </c>
      <c r="M9" s="146" t="str">
        <f>'ADJ DETAIL INPUT'!M8</f>
        <v>&amp;</v>
      </c>
      <c r="N9" s="146" t="str">
        <f>'ADJ DETAIL INPUT'!N8</f>
        <v xml:space="preserve">DFIT </v>
      </c>
      <c r="O9" s="146" t="str">
        <f>'ADJ DETAIL INPUT'!O8</f>
        <v>Charges to</v>
      </c>
      <c r="P9" s="146" t="str">
        <f>'ADJ DETAIL INPUT'!P8</f>
        <v>Excise</v>
      </c>
      <c r="Q9" s="146" t="str">
        <f>'ADJ DETAIL INPUT'!Q8</f>
        <v>Gains</v>
      </c>
      <c r="R9" s="146" t="str">
        <f>'ADJ DETAIL INPUT'!R8</f>
        <v>Normalization /</v>
      </c>
      <c r="S9" s="146" t="str">
        <f>'ADJ DETAIL INPUT'!S8</f>
        <v>Adder</v>
      </c>
      <c r="T9" s="146" t="str">
        <f>'ADJ DETAIL INPUT'!T8</f>
        <v>Non-Util / Non-</v>
      </c>
      <c r="U9" s="146" t="str">
        <f>'ADJ DETAIL INPUT'!U8</f>
        <v>Incentives</v>
      </c>
      <c r="V9" s="146" t="str">
        <f>'ADJ DETAIL INPUT'!V8</f>
        <v>Debt</v>
      </c>
      <c r="W9" s="146" t="str">
        <f>'ADJ DETAIL INPUT'!W8</f>
        <v>AMA Rate</v>
      </c>
      <c r="X9" s="146" t="str">
        <f>'ADJ DETAIL INPUT'!X8</f>
        <v xml:space="preserve">Tax Credit Regulatory </v>
      </c>
      <c r="Y9" s="146" t="str">
        <f>'ADJ DETAIL INPUT'!AA8</f>
        <v xml:space="preserve"> Revenue</v>
      </c>
      <c r="Z9" s="146" t="str">
        <f>'ADJ DETAIL INPUT'!AB8</f>
        <v>Def. Debits, Credits &amp;</v>
      </c>
      <c r="AA9" s="146" t="str">
        <f>'ADJ DETAIL INPUT'!AC8</f>
        <v>2023 ARAM</v>
      </c>
      <c r="AB9" s="146" t="str">
        <f>'ADJ DETAIL INPUT'!AD8</f>
        <v>AMI</v>
      </c>
      <c r="AC9" s="146" t="str">
        <f>'ADJ DETAIL INPUT'!AE8</f>
        <v xml:space="preserve">Other </v>
      </c>
      <c r="AD9" s="146" t="str">
        <f>'ADJ DETAIL INPUT'!AF8</f>
        <v>LEAP Deferral</v>
      </c>
      <c r="AE9" s="146" t="str">
        <f>'ADJ DETAIL INPUT'!AG8</f>
        <v>Non-Exec Labor</v>
      </c>
      <c r="AF9" s="146" t="str">
        <f>'ADJ DETAIL INPUT'!AH8</f>
        <v>Labor</v>
      </c>
      <c r="AG9" s="146" t="str">
        <f>'ADJ DETAIL INPUT'!AI8</f>
        <v>Employee</v>
      </c>
      <c r="AH9" s="146" t="str">
        <f>'ADJ DETAIL INPUT'!AJ8</f>
        <v xml:space="preserve">LIRAP </v>
      </c>
      <c r="AI9" s="146" t="str">
        <f>'ADJ DETAIL INPUT'!AK8</f>
        <v>Property</v>
      </c>
      <c r="AJ9" s="146" t="str">
        <f>'ADJ DETAIL INPUT'!AL8</f>
        <v xml:space="preserve">Insurance </v>
      </c>
      <c r="AK9" s="146" t="str">
        <f>'ADJ DETAIL INPUT'!AM8</f>
        <v>IS/IT</v>
      </c>
      <c r="AL9" s="146" t="str">
        <f>'ADJ DETAIL INPUT'!AN8</f>
        <v>Misc</v>
      </c>
      <c r="AM9" s="146" t="str">
        <f>'ADJ DETAIL INPUT'!AO8</f>
        <v>EOP Rate Base</v>
      </c>
      <c r="AN9" s="146" t="str">
        <f>'ADJ DETAIL INPUT'!AP8</f>
        <v>Capital Groups</v>
      </c>
      <c r="AO9" s="146" t="str">
        <f>'ADJ DETAIL INPUT'!AQ8</f>
        <v>Capital Groups</v>
      </c>
      <c r="AP9" s="146" t="str">
        <f>'ADJ DETAIL INPUT'!AR8</f>
        <v>Capital O&amp;M</v>
      </c>
      <c r="AQ9" s="146" t="str">
        <f>'ADJ DETAIL INPUT'!AV8</f>
        <v>2024 ARAM</v>
      </c>
      <c r="AR9" s="146" t="str">
        <f>'ADJ DETAIL INPUT'!AW8</f>
        <v>2024 AMI</v>
      </c>
      <c r="AS9" s="146" t="str">
        <f>'ADJ DETAIL INPUT'!AX8</f>
        <v>Non-Exec Labor</v>
      </c>
      <c r="AT9" s="146" t="str">
        <f>'ADJ DETAIL INPUT'!AY8</f>
        <v>Employee</v>
      </c>
      <c r="AU9" s="146" t="str">
        <f>'ADJ DETAIL INPUT'!AZ8</f>
        <v>Property</v>
      </c>
      <c r="AV9" s="146" t="str">
        <f>'ADJ DETAIL INPUT'!BA8</f>
        <v xml:space="preserve">Insurance </v>
      </c>
      <c r="AW9" s="146" t="str">
        <f>'ADJ DETAIL INPUT'!BB8</f>
        <v>LEAP Deferral</v>
      </c>
      <c r="AX9" s="146" t="str">
        <f>'ADJ DETAIL INPUT'!BC8</f>
        <v>Misc</v>
      </c>
      <c r="AY9" s="146" t="str">
        <f>'ADJ DETAIL INPUT'!BD8</f>
        <v>Capital Groups</v>
      </c>
      <c r="AZ9" s="146" t="str">
        <f>'ADJ DETAIL INPUT'!BE8</f>
        <v xml:space="preserve">O&amp;M Offsets </v>
      </c>
    </row>
    <row r="10" spans="1:52" s="135" customFormat="1">
      <c r="A10" s="147" t="s">
        <v>16</v>
      </c>
      <c r="B10" s="148"/>
      <c r="C10" s="149"/>
      <c r="D10" s="150" t="s">
        <v>17</v>
      </c>
      <c r="E10" s="151" t="str">
        <f>'ADJ DETAIL INPUT'!E9</f>
        <v>Report</v>
      </c>
      <c r="F10" s="151" t="str">
        <f>'ADJ DETAIL INPUT'!F9</f>
        <v>Rate Base</v>
      </c>
      <c r="G10" s="151" t="str">
        <f>'ADJ DETAIL INPUT'!G9</f>
        <v>Credits</v>
      </c>
      <c r="H10" s="151"/>
      <c r="I10" s="151" t="str">
        <f>'ADJ DETAIL INPUT'!I9</f>
        <v>Taxes</v>
      </c>
      <c r="J10" s="151" t="str">
        <f>'ADJ DETAIL INPUT'!J9</f>
        <v>Tax</v>
      </c>
      <c r="K10" s="151"/>
      <c r="L10" s="151"/>
      <c r="M10" s="151" t="str">
        <f>'ADJ DETAIL INPUT'!M9</f>
        <v>Damages</v>
      </c>
      <c r="N10" s="151" t="str">
        <f>'ADJ DETAIL INPUT'!N9</f>
        <v>Expense</v>
      </c>
      <c r="O10" s="151" t="str">
        <f>'ADJ DETAIL INPUT'!O9</f>
        <v>Non-Utility</v>
      </c>
      <c r="P10" s="151" t="str">
        <f>'ADJ DETAIL INPUT'!P9</f>
        <v>Taxes</v>
      </c>
      <c r="Q10" s="151"/>
      <c r="R10" s="151" t="str">
        <f>'ADJ DETAIL INPUT'!R9</f>
        <v>Gas Cost Adjust</v>
      </c>
      <c r="S10" s="151" t="str">
        <f>'ADJ DETAIL INPUT'!S9</f>
        <v>Schedules</v>
      </c>
      <c r="T10" s="151" t="str">
        <f>'ADJ DETAIL INPUT'!T9</f>
        <v>Recurring Expense</v>
      </c>
      <c r="U10" s="151"/>
      <c r="V10" s="151" t="str">
        <f>'ADJ DETAIL INPUT'!V9</f>
        <v>Interest</v>
      </c>
      <c r="W10" s="151" t="str">
        <f>'ADJ DETAIL INPUT'!W9</f>
        <v>Base to EOP</v>
      </c>
      <c r="X10" s="151" t="str">
        <f>'ADJ DETAIL INPUT'!X9</f>
        <v>Liability to EOP</v>
      </c>
      <c r="Y10" s="151" t="str">
        <f>'ADJ DETAIL INPUT'!AA9</f>
        <v xml:space="preserve">Normalization </v>
      </c>
      <c r="Z10" s="151" t="str">
        <f>'ADJ DETAIL INPUT'!AB9</f>
        <v>Regulatory Amorts</v>
      </c>
      <c r="AA10" s="151" t="str">
        <f>'ADJ DETAIL INPUT'!AC9</f>
        <v>DFIT</v>
      </c>
      <c r="AB10" s="151" t="str">
        <f>'ADJ DETAIL INPUT'!AD9</f>
        <v>Amortization</v>
      </c>
      <c r="AC10" s="151" t="str">
        <f>'ADJ DETAIL INPUT'!AE9</f>
        <v>Amortization</v>
      </c>
      <c r="AD10" s="151" t="str">
        <f>'ADJ DETAIL INPUT'!AF9</f>
        <v>Amortization</v>
      </c>
      <c r="AE10" s="151" t="str">
        <f>'ADJ DETAIL INPUT'!AG9</f>
        <v>&amp; Union Incentive</v>
      </c>
      <c r="AF10" s="151" t="str">
        <f>'ADJ DETAIL INPUT'!AH9</f>
        <v>Exec</v>
      </c>
      <c r="AG10" s="151" t="str">
        <f>'ADJ DETAIL INPUT'!AI9</f>
        <v>Benefits</v>
      </c>
      <c r="AH10" s="151" t="str">
        <f>'ADJ DETAIL INPUT'!AJ9</f>
        <v>Labor</v>
      </c>
      <c r="AI10" s="151" t="str">
        <f>'ADJ DETAIL INPUT'!AK9</f>
        <v>Tax</v>
      </c>
      <c r="AJ10" s="151" t="str">
        <f>'ADJ DETAIL INPUT'!AL9</f>
        <v>Expense</v>
      </c>
      <c r="AK10" s="151" t="str">
        <f>'ADJ DETAIL INPUT'!AM9</f>
        <v>Expense</v>
      </c>
      <c r="AL10" s="151" t="str">
        <f>'ADJ DETAIL INPUT'!AN9</f>
        <v>O&amp;M Exp</v>
      </c>
      <c r="AM10" s="151" t="str">
        <f>'ADJ DETAIL INPUT'!AO9</f>
        <v>to 12.31.2021 EOP</v>
      </c>
      <c r="AN10" s="151" t="str">
        <f>'ADJ DETAIL INPUT'!AP9</f>
        <v>2022 Additions EOP</v>
      </c>
      <c r="AO10" s="151" t="str">
        <f>'ADJ DETAIL INPUT'!AQ9</f>
        <v>2023 Additions AMA</v>
      </c>
      <c r="AP10" s="151" t="str">
        <f>'ADJ DETAIL INPUT'!AR9</f>
        <v>Offsets &amp; Revenue</v>
      </c>
      <c r="AQ10" s="151" t="str">
        <f>'ADJ DETAIL INPUT'!AV9</f>
        <v>DFIT</v>
      </c>
      <c r="AR10" s="151" t="str">
        <f>'ADJ DETAIL INPUT'!AW9</f>
        <v>Amortization</v>
      </c>
      <c r="AS10" s="151" t="str">
        <f>'ADJ DETAIL INPUT'!AX9</f>
        <v>&amp; Union Incentive</v>
      </c>
      <c r="AT10" s="151" t="str">
        <f>'ADJ DETAIL INPUT'!AY9</f>
        <v>Benefits</v>
      </c>
      <c r="AU10" s="151" t="str">
        <f>'ADJ DETAIL INPUT'!AZ9</f>
        <v>Tax</v>
      </c>
      <c r="AV10" s="151" t="str">
        <f>'ADJ DETAIL INPUT'!BA9</f>
        <v>Expense</v>
      </c>
      <c r="AW10" s="151" t="str">
        <f>'ADJ DETAIL INPUT'!BB9</f>
        <v>Amortization</v>
      </c>
      <c r="AX10" s="151" t="str">
        <f>'ADJ DETAIL INPUT'!BC9</f>
        <v>O&amp;M Exp</v>
      </c>
      <c r="AY10" s="151" t="str">
        <f>'ADJ DETAIL INPUT'!BD9</f>
        <v>2024 Additions AMA</v>
      </c>
      <c r="AZ10" s="151" t="str">
        <f>'ADJ DETAIL INPUT'!BE9</f>
        <v>&amp; Revenues</v>
      </c>
    </row>
    <row r="11" spans="1:52" s="135" customFormat="1">
      <c r="A11" s="134"/>
      <c r="B11" s="167" t="s">
        <v>174</v>
      </c>
      <c r="E11" s="168">
        <f>'ADJ DETAIL INPUT'!E10</f>
        <v>1</v>
      </c>
      <c r="F11" s="168">
        <f>'ADJ DETAIL INPUT'!F10</f>
        <v>1.01</v>
      </c>
      <c r="G11" s="168">
        <f>'ADJ DETAIL INPUT'!G10</f>
        <v>1.02</v>
      </c>
      <c r="H11" s="168">
        <f>'ADJ DETAIL INPUT'!H10</f>
        <v>1.03</v>
      </c>
      <c r="I11" s="168">
        <f>'ADJ DETAIL INPUT'!I10</f>
        <v>2.0099999999999998</v>
      </c>
      <c r="J11" s="168">
        <f>'ADJ DETAIL INPUT'!J10</f>
        <v>2.0199999999999996</v>
      </c>
      <c r="K11" s="168">
        <f>'ADJ DETAIL INPUT'!K10</f>
        <v>2.0299999999999994</v>
      </c>
      <c r="L11" s="168">
        <f>'ADJ DETAIL INPUT'!L10</f>
        <v>2.0399999999999991</v>
      </c>
      <c r="M11" s="168">
        <f>'ADJ DETAIL INPUT'!M10</f>
        <v>2.0499999999999989</v>
      </c>
      <c r="N11" s="168">
        <f>'ADJ DETAIL INPUT'!N10</f>
        <v>2.0599999999999987</v>
      </c>
      <c r="O11" s="168">
        <f>'ADJ DETAIL INPUT'!O10</f>
        <v>2.0699999999999985</v>
      </c>
      <c r="P11" s="168">
        <f>'ADJ DETAIL INPUT'!P10</f>
        <v>2.0799999999999983</v>
      </c>
      <c r="Q11" s="168">
        <f>'ADJ DETAIL INPUT'!Q10</f>
        <v>2.0899999999999981</v>
      </c>
      <c r="R11" s="168">
        <f>'ADJ DETAIL INPUT'!R10</f>
        <v>2.0999999999999979</v>
      </c>
      <c r="S11" s="168">
        <f>'ADJ DETAIL INPUT'!S10</f>
        <v>2.1099999999999977</v>
      </c>
      <c r="T11" s="168">
        <f>'ADJ DETAIL INPUT'!T10</f>
        <v>2.1199999999999974</v>
      </c>
      <c r="U11" s="168">
        <f>'ADJ DETAIL INPUT'!U10</f>
        <v>2.1299999999999972</v>
      </c>
      <c r="V11" s="168">
        <f>'ADJ DETAIL INPUT'!V10</f>
        <v>2.139999999999997</v>
      </c>
      <c r="W11" s="168">
        <f>'ADJ DETAIL INPUT'!W10</f>
        <v>2.1499999999999968</v>
      </c>
      <c r="X11" s="168">
        <f>'ADJ DETAIL INPUT'!X10</f>
        <v>2.1599999999999966</v>
      </c>
      <c r="Y11" s="168">
        <f>'ADJ DETAIL INPUT'!AA10</f>
        <v>3.01</v>
      </c>
      <c r="Z11" s="168">
        <f>'ADJ DETAIL INPUT'!AB10</f>
        <v>3.0199999999999996</v>
      </c>
      <c r="AA11" s="168">
        <f>'ADJ DETAIL INPUT'!AC10</f>
        <v>3.0299999999999994</v>
      </c>
      <c r="AB11" s="168">
        <f>'ADJ DETAIL INPUT'!AD10</f>
        <v>3.0399999999999991</v>
      </c>
      <c r="AC11" s="168">
        <f>'ADJ DETAIL INPUT'!AE10</f>
        <v>3.0499999999999989</v>
      </c>
      <c r="AD11" s="168">
        <f>'ADJ DETAIL INPUT'!AF10</f>
        <v>3.0599999999999987</v>
      </c>
      <c r="AE11" s="168">
        <f>'ADJ DETAIL INPUT'!AG10</f>
        <v>3.0699999999999985</v>
      </c>
      <c r="AF11" s="168">
        <f>'ADJ DETAIL INPUT'!AH10</f>
        <v>3.0799999999999983</v>
      </c>
      <c r="AG11" s="168">
        <f>'ADJ DETAIL INPUT'!AI10</f>
        <v>3.0899999999999981</v>
      </c>
      <c r="AH11" s="168">
        <f>'ADJ DETAIL INPUT'!AJ10</f>
        <v>3.0999999999999979</v>
      </c>
      <c r="AI11" s="168">
        <f>'ADJ DETAIL INPUT'!AK10</f>
        <v>3.1099999999999977</v>
      </c>
      <c r="AJ11" s="168">
        <f>'ADJ DETAIL INPUT'!AL10</f>
        <v>3.1199999999999974</v>
      </c>
      <c r="AK11" s="168">
        <f>'ADJ DETAIL INPUT'!AM10</f>
        <v>3.1299999999999972</v>
      </c>
      <c r="AL11" s="168">
        <f>'ADJ DETAIL INPUT'!AN10</f>
        <v>3.139999999999997</v>
      </c>
      <c r="AM11" s="168">
        <f>'ADJ DETAIL INPUT'!AO10</f>
        <v>3.1499999999999968</v>
      </c>
      <c r="AN11" s="168">
        <f>'ADJ DETAIL INPUT'!AP10</f>
        <v>4.01</v>
      </c>
      <c r="AO11" s="168">
        <f>'ADJ DETAIL INPUT'!AQ10</f>
        <v>4.0199999999999996</v>
      </c>
      <c r="AP11" s="168">
        <f>'ADJ DETAIL INPUT'!AR10</f>
        <v>4.0299999999999994</v>
      </c>
      <c r="AQ11" s="168">
        <f>'ADJ DETAIL INPUT'!AV10</f>
        <v>5</v>
      </c>
      <c r="AR11" s="168">
        <f>'ADJ DETAIL INPUT'!AW10</f>
        <v>5.01</v>
      </c>
      <c r="AS11" s="168">
        <f>'ADJ DETAIL INPUT'!AX10</f>
        <v>5.0199999999999996</v>
      </c>
      <c r="AT11" s="168">
        <f>'ADJ DETAIL INPUT'!AY10</f>
        <v>5.0299999999999994</v>
      </c>
      <c r="AU11" s="168">
        <f>'ADJ DETAIL INPUT'!AZ10</f>
        <v>5.0399999999999991</v>
      </c>
      <c r="AV11" s="168">
        <f>'ADJ DETAIL INPUT'!BA10</f>
        <v>5.0499999999999989</v>
      </c>
      <c r="AW11" s="168">
        <f>'ADJ DETAIL INPUT'!BB10</f>
        <v>5.0599999999999987</v>
      </c>
      <c r="AX11" s="168">
        <f>'ADJ DETAIL INPUT'!BC10</f>
        <v>5.0699999999999985</v>
      </c>
      <c r="AY11" s="168">
        <f>'ADJ DETAIL INPUT'!BD10</f>
        <v>5.0799999999999983</v>
      </c>
      <c r="AZ11" s="168">
        <f>'ADJ DETAIL INPUT'!BE10</f>
        <v>5.0899999999999981</v>
      </c>
    </row>
    <row r="12" spans="1:52" s="135" customFormat="1">
      <c r="A12" s="134"/>
      <c r="B12" s="167" t="s">
        <v>175</v>
      </c>
      <c r="E12" s="136" t="str">
        <f>'ADJ DETAIL INPUT'!E11</f>
        <v>G-ROO</v>
      </c>
      <c r="F12" s="136" t="str">
        <f>'ADJ DETAIL INPUT'!F11</f>
        <v>G-DFIT</v>
      </c>
      <c r="G12" s="136" t="str">
        <f>'ADJ DETAIL INPUT'!G11</f>
        <v>G-DDC</v>
      </c>
      <c r="H12" s="136" t="str">
        <f>'ADJ DETAIL INPUT'!H11</f>
        <v>G-WC</v>
      </c>
      <c r="I12" s="136" t="str">
        <f>'ADJ DETAIL INPUT'!I11</f>
        <v>G-EBO</v>
      </c>
      <c r="J12" s="136" t="str">
        <f>'ADJ DETAIL INPUT'!J11</f>
        <v>G-RPT</v>
      </c>
      <c r="K12" s="136" t="str">
        <f>'ADJ DETAIL INPUT'!K11</f>
        <v>G-UE</v>
      </c>
      <c r="L12" s="136" t="str">
        <f>'ADJ DETAIL INPUT'!L11</f>
        <v>G-RE</v>
      </c>
      <c r="M12" s="136" t="str">
        <f>'ADJ DETAIL INPUT'!M11</f>
        <v>G-ID</v>
      </c>
      <c r="N12" s="136" t="str">
        <f>'ADJ DETAIL INPUT'!N11</f>
        <v>G-FIT</v>
      </c>
      <c r="O12" s="136" t="str">
        <f>'ADJ DETAIL INPUT'!O11</f>
        <v>G-OSC</v>
      </c>
      <c r="P12" s="136" t="str">
        <f>'ADJ DETAIL INPUT'!P11</f>
        <v>G-RET</v>
      </c>
      <c r="Q12" s="136" t="str">
        <f>'ADJ DETAIL INPUT'!Q11</f>
        <v>G-NGL</v>
      </c>
      <c r="R12" s="136" t="str">
        <f>'ADJ DETAIL INPUT'!R11</f>
        <v>G-WNGC</v>
      </c>
      <c r="S12" s="136" t="str">
        <f>'ADJ DETAIL INPUT'!S11</f>
        <v>G-EAS</v>
      </c>
      <c r="T12" s="136" t="str">
        <f>'ADJ DETAIL INPUT'!T11</f>
        <v>G-MR</v>
      </c>
      <c r="U12" s="136" t="str">
        <f>'ADJ DETAIL INPUT'!U11</f>
        <v>G-RI</v>
      </c>
      <c r="V12" s="136" t="str">
        <f>'ADJ DETAIL INPUT'!V11</f>
        <v>G-DI</v>
      </c>
      <c r="W12" s="136" t="str">
        <f>'ADJ DETAIL INPUT'!W11</f>
        <v>G-EOP09.2021</v>
      </c>
      <c r="X12" s="136" t="str">
        <f>'ADJ DETAIL INPUT'!X11</f>
        <v>G-TCRL</v>
      </c>
      <c r="Y12" s="136" t="str">
        <f>'ADJ DETAIL INPUT'!AA11</f>
        <v>G-PREV</v>
      </c>
      <c r="Z12" s="136" t="str">
        <f>'ADJ DETAIL INPUT'!AB11</f>
        <v>G-PRA</v>
      </c>
      <c r="AA12" s="136" t="str">
        <f>'ADJ DETAIL INPUT'!AC11</f>
        <v>G-ARAM</v>
      </c>
      <c r="AB12" s="136" t="str">
        <f>'ADJ DETAIL INPUT'!AD11</f>
        <v>G-PAMI</v>
      </c>
      <c r="AC12" s="136" t="str">
        <f>'ADJ DETAIL INPUT'!AE11</f>
        <v>E-PAMM</v>
      </c>
      <c r="AD12" s="136" t="str">
        <f>'ADJ DETAIL INPUT'!AF11</f>
        <v>G-PLEAP23</v>
      </c>
      <c r="AE12" s="136" t="str">
        <f>'ADJ DETAIL INPUT'!AG11</f>
        <v>G-PLN</v>
      </c>
      <c r="AF12" s="136" t="str">
        <f>'ADJ DETAIL INPUT'!AH11</f>
        <v>G-PLE</v>
      </c>
      <c r="AG12" s="136" t="str">
        <f>'ADJ DETAIL INPUT'!AI11</f>
        <v>G-PEB</v>
      </c>
      <c r="AH12" s="136" t="str">
        <f>'ADJ DETAIL INPUT'!AJ11</f>
        <v>G-LIRAP</v>
      </c>
      <c r="AI12" s="136" t="str">
        <f>'ADJ DETAIL INPUT'!AK11</f>
        <v>G-PPT</v>
      </c>
      <c r="AJ12" s="136" t="str">
        <f>'ADJ DETAIL INPUT'!AL11</f>
        <v>G-PINS</v>
      </c>
      <c r="AK12" s="136" t="str">
        <f>'ADJ DETAIL INPUT'!AM11</f>
        <v>G-PIT</v>
      </c>
      <c r="AL12" s="136" t="str">
        <f>'ADJ DETAIL INPUT'!AN11</f>
        <v>G-PMisc</v>
      </c>
      <c r="AM12" s="136" t="str">
        <f>'ADJ DETAIL INPUT'!AO11</f>
        <v>G-EOP12.2021</v>
      </c>
      <c r="AN12" s="136" t="str">
        <f>'ADJ DETAIL INPUT'!AP11</f>
        <v>G-PVCap22</v>
      </c>
      <c r="AO12" s="136" t="str">
        <f>'ADJ DETAIL INPUT'!AQ11</f>
        <v>G-PVCap23</v>
      </c>
      <c r="AP12" s="136" t="str">
        <f>'ADJ DETAIL INPUT'!AR11</f>
        <v>G-Offsets23</v>
      </c>
      <c r="AQ12" s="136" t="str">
        <f>'ADJ DETAIL INPUT'!AV11</f>
        <v>G-ARAM24</v>
      </c>
      <c r="AR12" s="136" t="str">
        <f>'ADJ DETAIL INPUT'!AW11</f>
        <v>G-PAMI24</v>
      </c>
      <c r="AS12" s="136" t="str">
        <f>'ADJ DETAIL INPUT'!AX11</f>
        <v>G-PLN24</v>
      </c>
      <c r="AT12" s="136" t="str">
        <f>'ADJ DETAIL INPUT'!AY11</f>
        <v>G-PEB24</v>
      </c>
      <c r="AU12" s="136" t="str">
        <f>'ADJ DETAIL INPUT'!AZ11</f>
        <v>G-PPT24</v>
      </c>
      <c r="AV12" s="136" t="str">
        <f>'ADJ DETAIL INPUT'!BA11</f>
        <v>G-PINS24</v>
      </c>
      <c r="AW12" s="136" t="str">
        <f>'ADJ DETAIL INPUT'!BB11</f>
        <v>G-PLEAP24</v>
      </c>
      <c r="AX12" s="136" t="str">
        <f>'ADJ DETAIL INPUT'!BC11</f>
        <v>G-PMisc24</v>
      </c>
      <c r="AY12" s="136" t="str">
        <f>'ADJ DETAIL INPUT'!BD11</f>
        <v>G-PVCap24</v>
      </c>
      <c r="AZ12" s="136" t="str">
        <f>'ADJ DETAIL INPUT'!BE11</f>
        <v>G-Offsets24</v>
      </c>
    </row>
    <row r="14" spans="1:52">
      <c r="B14" s="128" t="s">
        <v>32</v>
      </c>
    </row>
    <row r="15" spans="1:52" s="153" customFormat="1">
      <c r="A15" s="152">
        <v>1</v>
      </c>
      <c r="B15" s="153" t="s">
        <v>33</v>
      </c>
      <c r="E15" s="210">
        <f>'ADJ DETAIL INPUT'!E14</f>
        <v>156530</v>
      </c>
      <c r="F15" s="210">
        <f>'ADJ DETAIL INPUT'!F14</f>
        <v>0</v>
      </c>
      <c r="G15" s="210">
        <f>'ADJ DETAIL INPUT'!G14</f>
        <v>0</v>
      </c>
      <c r="H15" s="210">
        <f>'ADJ DETAIL INPUT'!H14</f>
        <v>0</v>
      </c>
      <c r="I15" s="210">
        <f>'ADJ DETAIL INPUT'!I14</f>
        <v>-5417</v>
      </c>
      <c r="J15" s="210">
        <f>'ADJ DETAIL INPUT'!J14</f>
        <v>0</v>
      </c>
      <c r="K15" s="210">
        <f>'ADJ DETAIL INPUT'!K14</f>
        <v>0</v>
      </c>
      <c r="L15" s="210">
        <f>'ADJ DETAIL INPUT'!L14</f>
        <v>0</v>
      </c>
      <c r="M15" s="210">
        <f>'ADJ DETAIL INPUT'!M14</f>
        <v>0</v>
      </c>
      <c r="N15" s="210">
        <f>'ADJ DETAIL INPUT'!N14</f>
        <v>0</v>
      </c>
      <c r="O15" s="210">
        <f>'ADJ DETAIL INPUT'!O14</f>
        <v>0</v>
      </c>
      <c r="P15" s="210">
        <f>'ADJ DETAIL INPUT'!P14</f>
        <v>0</v>
      </c>
      <c r="Q15" s="210">
        <f>'ADJ DETAIL INPUT'!Q14</f>
        <v>0</v>
      </c>
      <c r="R15" s="210">
        <f>'ADJ DETAIL INPUT'!R14</f>
        <v>8279</v>
      </c>
      <c r="S15" s="210">
        <f>'ADJ DETAIL INPUT'!S14</f>
        <v>-4578</v>
      </c>
      <c r="T15" s="210">
        <f>'ADJ DETAIL INPUT'!T14</f>
        <v>0</v>
      </c>
      <c r="U15" s="210">
        <f>'ADJ DETAIL INPUT'!U14</f>
        <v>0</v>
      </c>
      <c r="V15" s="210">
        <f>'ADJ DETAIL INPUT'!V14</f>
        <v>0</v>
      </c>
      <c r="W15" s="210">
        <f>'ADJ DETAIL INPUT'!W14</f>
        <v>0</v>
      </c>
      <c r="X15" s="210">
        <f>'ADJ DETAIL INPUT'!X14</f>
        <v>0</v>
      </c>
      <c r="Y15" s="210">
        <f>'ADJ DETAIL INPUT'!AA14</f>
        <v>-44946</v>
      </c>
      <c r="Z15" s="210">
        <f>'ADJ DETAIL INPUT'!AB14</f>
        <v>0</v>
      </c>
      <c r="AA15" s="210">
        <f>'ADJ DETAIL INPUT'!AC14</f>
        <v>0</v>
      </c>
      <c r="AB15" s="210">
        <f>'ADJ DETAIL INPUT'!AD14</f>
        <v>0</v>
      </c>
      <c r="AC15" s="210">
        <f>'ADJ DETAIL INPUT'!AE14</f>
        <v>0</v>
      </c>
      <c r="AD15" s="210">
        <f>'ADJ DETAIL INPUT'!AF14</f>
        <v>0</v>
      </c>
      <c r="AE15" s="210">
        <f>'ADJ DETAIL INPUT'!AG14</f>
        <v>0</v>
      </c>
      <c r="AF15" s="210">
        <f>'ADJ DETAIL INPUT'!AH14</f>
        <v>0</v>
      </c>
      <c r="AG15" s="210">
        <f>'ADJ DETAIL INPUT'!AI14</f>
        <v>0</v>
      </c>
      <c r="AH15" s="210">
        <f>'ADJ DETAIL INPUT'!AJ14</f>
        <v>0</v>
      </c>
      <c r="AI15" s="210">
        <f>'ADJ DETAIL INPUT'!AK14</f>
        <v>0</v>
      </c>
      <c r="AJ15" s="210">
        <f>'ADJ DETAIL INPUT'!AL14</f>
        <v>0</v>
      </c>
      <c r="AK15" s="210">
        <f>'ADJ DETAIL INPUT'!AM14</f>
        <v>0</v>
      </c>
      <c r="AL15" s="210">
        <f>'ADJ DETAIL INPUT'!AN14</f>
        <v>0</v>
      </c>
      <c r="AM15" s="210">
        <f>'ADJ DETAIL INPUT'!AO14</f>
        <v>0</v>
      </c>
      <c r="AN15" s="210">
        <f>'ADJ DETAIL INPUT'!AP14</f>
        <v>0</v>
      </c>
      <c r="AO15" s="210">
        <f>'ADJ DETAIL INPUT'!AQ14</f>
        <v>0</v>
      </c>
      <c r="AP15" s="210">
        <f>'ADJ DETAIL INPUT'!AR14</f>
        <v>0</v>
      </c>
      <c r="AQ15" s="210">
        <f>'ADJ DETAIL INPUT'!AV14</f>
        <v>0</v>
      </c>
      <c r="AR15" s="210">
        <f>'ADJ DETAIL INPUT'!AW14</f>
        <v>0</v>
      </c>
      <c r="AS15" s="210">
        <f>'ADJ DETAIL INPUT'!AX14</f>
        <v>0</v>
      </c>
      <c r="AT15" s="210">
        <f>'ADJ DETAIL INPUT'!AY14</f>
        <v>0</v>
      </c>
      <c r="AU15" s="210">
        <f>'ADJ DETAIL INPUT'!AZ14</f>
        <v>0</v>
      </c>
      <c r="AV15" s="210">
        <f>'ADJ DETAIL INPUT'!BA14</f>
        <v>0</v>
      </c>
      <c r="AW15" s="210">
        <f>'ADJ DETAIL INPUT'!BB14</f>
        <v>0</v>
      </c>
      <c r="AX15" s="210">
        <f>'ADJ DETAIL INPUT'!BC14</f>
        <v>0</v>
      </c>
      <c r="AY15" s="210">
        <f>'ADJ DETAIL INPUT'!BD14</f>
        <v>0</v>
      </c>
      <c r="AZ15" s="210">
        <f>'ADJ DETAIL INPUT'!BE14</f>
        <v>0</v>
      </c>
    </row>
    <row r="16" spans="1:52">
      <c r="A16" s="152">
        <v>2</v>
      </c>
      <c r="B16" s="154" t="s">
        <v>34</v>
      </c>
      <c r="D16" s="154"/>
      <c r="E16" s="171">
        <f>'ADJ DETAIL INPUT'!E15</f>
        <v>4817</v>
      </c>
      <c r="F16" s="171">
        <f>'ADJ DETAIL INPUT'!F15</f>
        <v>0</v>
      </c>
      <c r="G16" s="171">
        <f>'ADJ DETAIL INPUT'!G15</f>
        <v>0</v>
      </c>
      <c r="H16" s="171">
        <f>'ADJ DETAIL INPUT'!H15</f>
        <v>0</v>
      </c>
      <c r="I16" s="171">
        <f>'ADJ DETAIL INPUT'!I15</f>
        <v>-122</v>
      </c>
      <c r="J16" s="171">
        <f>'ADJ DETAIL INPUT'!J15</f>
        <v>0</v>
      </c>
      <c r="K16" s="171">
        <f>'ADJ DETAIL INPUT'!K15</f>
        <v>0</v>
      </c>
      <c r="L16" s="171">
        <f>'ADJ DETAIL INPUT'!L15</f>
        <v>0</v>
      </c>
      <c r="M16" s="171">
        <f>'ADJ DETAIL INPUT'!M15</f>
        <v>0</v>
      </c>
      <c r="N16" s="171">
        <f>'ADJ DETAIL INPUT'!N15</f>
        <v>0</v>
      </c>
      <c r="O16" s="171">
        <f>'ADJ DETAIL INPUT'!O15</f>
        <v>0</v>
      </c>
      <c r="P16" s="171">
        <f>'ADJ DETAIL INPUT'!P15</f>
        <v>0</v>
      </c>
      <c r="Q16" s="171">
        <f>'ADJ DETAIL INPUT'!Q15</f>
        <v>0</v>
      </c>
      <c r="R16" s="171">
        <f>'ADJ DETAIL INPUT'!R15</f>
        <v>0</v>
      </c>
      <c r="S16" s="171">
        <f>'ADJ DETAIL INPUT'!S15</f>
        <v>0</v>
      </c>
      <c r="T16" s="171">
        <f>'ADJ DETAIL INPUT'!T15</f>
        <v>0</v>
      </c>
      <c r="U16" s="171">
        <f>'ADJ DETAIL INPUT'!U15</f>
        <v>0</v>
      </c>
      <c r="V16" s="171">
        <f>'ADJ DETAIL INPUT'!V15</f>
        <v>0</v>
      </c>
      <c r="W16" s="171">
        <f>'ADJ DETAIL INPUT'!W15</f>
        <v>0</v>
      </c>
      <c r="X16" s="171">
        <f>'ADJ DETAIL INPUT'!X15</f>
        <v>0</v>
      </c>
      <c r="Y16" s="171">
        <f>'ADJ DETAIL INPUT'!AA15</f>
        <v>296</v>
      </c>
      <c r="Z16" s="171">
        <f>'ADJ DETAIL INPUT'!AB15</f>
        <v>0</v>
      </c>
      <c r="AA16" s="171">
        <f>'ADJ DETAIL INPUT'!AC15</f>
        <v>0</v>
      </c>
      <c r="AB16" s="171">
        <f>'ADJ DETAIL INPUT'!AD15</f>
        <v>0</v>
      </c>
      <c r="AC16" s="171">
        <f>'ADJ DETAIL INPUT'!AE15</f>
        <v>0</v>
      </c>
      <c r="AD16" s="171">
        <f>'ADJ DETAIL INPUT'!AF15</f>
        <v>0</v>
      </c>
      <c r="AE16" s="171">
        <f>'ADJ DETAIL INPUT'!AG15</f>
        <v>0</v>
      </c>
      <c r="AF16" s="171">
        <f>'ADJ DETAIL INPUT'!AH15</f>
        <v>0</v>
      </c>
      <c r="AG16" s="171">
        <f>'ADJ DETAIL INPUT'!AI15</f>
        <v>0</v>
      </c>
      <c r="AH16" s="171">
        <f>'ADJ DETAIL INPUT'!AJ15</f>
        <v>0</v>
      </c>
      <c r="AI16" s="171">
        <f>'ADJ DETAIL INPUT'!AK15</f>
        <v>0</v>
      </c>
      <c r="AJ16" s="171">
        <f>'ADJ DETAIL INPUT'!AL15</f>
        <v>0</v>
      </c>
      <c r="AK16" s="171">
        <f>'ADJ DETAIL INPUT'!AM15</f>
        <v>0</v>
      </c>
      <c r="AL16" s="171">
        <f>'ADJ DETAIL INPUT'!AN15</f>
        <v>0</v>
      </c>
      <c r="AM16" s="171">
        <f>'ADJ DETAIL INPUT'!AO15</f>
        <v>0</v>
      </c>
      <c r="AN16" s="171">
        <f>'ADJ DETAIL INPUT'!AP15</f>
        <v>0</v>
      </c>
      <c r="AO16" s="171">
        <f>'ADJ DETAIL INPUT'!AQ15</f>
        <v>0</v>
      </c>
      <c r="AP16" s="171">
        <f>'ADJ DETAIL INPUT'!AR15</f>
        <v>0</v>
      </c>
      <c r="AQ16" s="171">
        <f>'ADJ DETAIL INPUT'!AV15</f>
        <v>0</v>
      </c>
      <c r="AR16" s="171">
        <f>'ADJ DETAIL INPUT'!AW15</f>
        <v>0</v>
      </c>
      <c r="AS16" s="171">
        <f>'ADJ DETAIL INPUT'!AX15</f>
        <v>0</v>
      </c>
      <c r="AT16" s="171">
        <f>'ADJ DETAIL INPUT'!AY15</f>
        <v>0</v>
      </c>
      <c r="AU16" s="171">
        <f>'ADJ DETAIL INPUT'!AZ15</f>
        <v>0</v>
      </c>
      <c r="AV16" s="171">
        <f>'ADJ DETAIL INPUT'!BA15</f>
        <v>0</v>
      </c>
      <c r="AW16" s="171">
        <f>'ADJ DETAIL INPUT'!BB15</f>
        <v>0</v>
      </c>
      <c r="AX16" s="171">
        <f>'ADJ DETAIL INPUT'!BC15</f>
        <v>0</v>
      </c>
      <c r="AY16" s="171">
        <f>'ADJ DETAIL INPUT'!BD15</f>
        <v>0</v>
      </c>
      <c r="AZ16" s="171">
        <f>'ADJ DETAIL INPUT'!BE15</f>
        <v>0</v>
      </c>
    </row>
    <row r="17" spans="1:52">
      <c r="A17" s="152">
        <v>3</v>
      </c>
      <c r="B17" s="154" t="s">
        <v>35</v>
      </c>
      <c r="D17" s="154"/>
      <c r="E17" s="172">
        <f>'ADJ DETAIL INPUT'!E16</f>
        <v>48647</v>
      </c>
      <c r="F17" s="172">
        <f>'ADJ DETAIL INPUT'!F16</f>
        <v>0</v>
      </c>
      <c r="G17" s="172">
        <f>'ADJ DETAIL INPUT'!G16</f>
        <v>0</v>
      </c>
      <c r="H17" s="172">
        <f>'ADJ DETAIL INPUT'!H16</f>
        <v>0</v>
      </c>
      <c r="I17" s="172">
        <f>'ADJ DETAIL INPUT'!I16</f>
        <v>0</v>
      </c>
      <c r="J17" s="172">
        <f>'ADJ DETAIL INPUT'!J16</f>
        <v>0</v>
      </c>
      <c r="K17" s="172">
        <f>'ADJ DETAIL INPUT'!K16</f>
        <v>0</v>
      </c>
      <c r="L17" s="172">
        <f>'ADJ DETAIL INPUT'!L16</f>
        <v>0</v>
      </c>
      <c r="M17" s="172">
        <f>'ADJ DETAIL INPUT'!M16</f>
        <v>0</v>
      </c>
      <c r="N17" s="172">
        <f>'ADJ DETAIL INPUT'!N16</f>
        <v>0</v>
      </c>
      <c r="O17" s="172">
        <f>'ADJ DETAIL INPUT'!O16</f>
        <v>0</v>
      </c>
      <c r="P17" s="172">
        <f>'ADJ DETAIL INPUT'!P16</f>
        <v>0</v>
      </c>
      <c r="Q17" s="172">
        <f>'ADJ DETAIL INPUT'!Q16</f>
        <v>0</v>
      </c>
      <c r="R17" s="172">
        <f>'ADJ DETAIL INPUT'!R16</f>
        <v>-4812</v>
      </c>
      <c r="S17" s="172">
        <f>'ADJ DETAIL INPUT'!S16</f>
        <v>-44262</v>
      </c>
      <c r="T17" s="172">
        <f>'ADJ DETAIL INPUT'!T16</f>
        <v>0</v>
      </c>
      <c r="U17" s="172">
        <f>'ADJ DETAIL INPUT'!U16</f>
        <v>0</v>
      </c>
      <c r="V17" s="172">
        <f>'ADJ DETAIL INPUT'!V16</f>
        <v>0</v>
      </c>
      <c r="W17" s="172">
        <f>'ADJ DETAIL INPUT'!W16</f>
        <v>0</v>
      </c>
      <c r="X17" s="172">
        <f>'ADJ DETAIL INPUT'!X16</f>
        <v>0</v>
      </c>
      <c r="Y17" s="172">
        <f>'ADJ DETAIL INPUT'!AA16</f>
        <v>907</v>
      </c>
      <c r="Z17" s="172">
        <f>'ADJ DETAIL INPUT'!AB16</f>
        <v>0</v>
      </c>
      <c r="AA17" s="172">
        <f>'ADJ DETAIL INPUT'!AC16</f>
        <v>0</v>
      </c>
      <c r="AB17" s="172">
        <f>'ADJ DETAIL INPUT'!AD16</f>
        <v>0</v>
      </c>
      <c r="AC17" s="172">
        <f>'ADJ DETAIL INPUT'!AE16</f>
        <v>0</v>
      </c>
      <c r="AD17" s="172">
        <f>'ADJ DETAIL INPUT'!AF16</f>
        <v>0</v>
      </c>
      <c r="AE17" s="172">
        <f>'ADJ DETAIL INPUT'!AG16</f>
        <v>0</v>
      </c>
      <c r="AF17" s="172">
        <f>'ADJ DETAIL INPUT'!AH16</f>
        <v>0</v>
      </c>
      <c r="AG17" s="172">
        <f>'ADJ DETAIL INPUT'!AI16</f>
        <v>0</v>
      </c>
      <c r="AH17" s="172">
        <f>'ADJ DETAIL INPUT'!AJ16</f>
        <v>0</v>
      </c>
      <c r="AI17" s="172">
        <f>'ADJ DETAIL INPUT'!AK16</f>
        <v>0</v>
      </c>
      <c r="AJ17" s="172">
        <f>'ADJ DETAIL INPUT'!AL16</f>
        <v>0</v>
      </c>
      <c r="AK17" s="172">
        <f>'ADJ DETAIL INPUT'!AM16</f>
        <v>0</v>
      </c>
      <c r="AL17" s="172">
        <f>'ADJ DETAIL INPUT'!AN16</f>
        <v>0</v>
      </c>
      <c r="AM17" s="172">
        <f>'ADJ DETAIL INPUT'!AO16</f>
        <v>0</v>
      </c>
      <c r="AN17" s="172">
        <f>'ADJ DETAIL INPUT'!AP16</f>
        <v>0</v>
      </c>
      <c r="AO17" s="172">
        <f>'ADJ DETAIL INPUT'!AQ16</f>
        <v>0</v>
      </c>
      <c r="AP17" s="172">
        <f>'ADJ DETAIL INPUT'!AR16</f>
        <v>3391</v>
      </c>
      <c r="AQ17" s="172">
        <f>'ADJ DETAIL INPUT'!AV16</f>
        <v>0</v>
      </c>
      <c r="AR17" s="172">
        <f>'ADJ DETAIL INPUT'!AW16</f>
        <v>0</v>
      </c>
      <c r="AS17" s="172">
        <f>'ADJ DETAIL INPUT'!AX16</f>
        <v>0</v>
      </c>
      <c r="AT17" s="172">
        <f>'ADJ DETAIL INPUT'!AY16</f>
        <v>0</v>
      </c>
      <c r="AU17" s="172">
        <f>'ADJ DETAIL INPUT'!AZ16</f>
        <v>0</v>
      </c>
      <c r="AV17" s="172">
        <f>'ADJ DETAIL INPUT'!BA16</f>
        <v>0</v>
      </c>
      <c r="AW17" s="172">
        <f>'ADJ DETAIL INPUT'!BB16</f>
        <v>0</v>
      </c>
      <c r="AX17" s="172">
        <f>'ADJ DETAIL INPUT'!BC16</f>
        <v>0</v>
      </c>
      <c r="AY17" s="172">
        <f>'ADJ DETAIL INPUT'!BD16</f>
        <v>0</v>
      </c>
      <c r="AZ17" s="172">
        <f>'ADJ DETAIL INPUT'!BE16</f>
        <v>1357</v>
      </c>
    </row>
    <row r="18" spans="1:52">
      <c r="A18" s="152">
        <v>4</v>
      </c>
      <c r="B18" s="128" t="s">
        <v>36</v>
      </c>
      <c r="C18" s="154"/>
      <c r="D18" s="154"/>
      <c r="E18" s="171">
        <f>SUM(E15:E17)</f>
        <v>209994</v>
      </c>
      <c r="F18" s="171">
        <f t="shared" ref="F18:R18" si="0">SUM(F15:F17)</f>
        <v>0</v>
      </c>
      <c r="G18" s="171">
        <f t="shared" si="0"/>
        <v>0</v>
      </c>
      <c r="H18" s="171">
        <f t="shared" si="0"/>
        <v>0</v>
      </c>
      <c r="I18" s="171">
        <f t="shared" si="0"/>
        <v>-5539</v>
      </c>
      <c r="J18" s="171">
        <f t="shared" si="0"/>
        <v>0</v>
      </c>
      <c r="K18" s="171">
        <f t="shared" si="0"/>
        <v>0</v>
      </c>
      <c r="L18" s="171">
        <f t="shared" si="0"/>
        <v>0</v>
      </c>
      <c r="M18" s="171">
        <f t="shared" si="0"/>
        <v>0</v>
      </c>
      <c r="N18" s="171">
        <f t="shared" si="0"/>
        <v>0</v>
      </c>
      <c r="O18" s="171">
        <f t="shared" si="0"/>
        <v>0</v>
      </c>
      <c r="P18" s="171">
        <f t="shared" si="0"/>
        <v>0</v>
      </c>
      <c r="Q18" s="171">
        <f t="shared" si="0"/>
        <v>0</v>
      </c>
      <c r="R18" s="171">
        <f t="shared" si="0"/>
        <v>3467</v>
      </c>
      <c r="S18" s="171">
        <f t="shared" ref="S18:T18" si="1">SUM(S15:S17)</f>
        <v>-48840</v>
      </c>
      <c r="T18" s="171">
        <f t="shared" si="1"/>
        <v>0</v>
      </c>
      <c r="U18" s="171">
        <f t="shared" ref="U18" si="2">SUM(U15:U17)</f>
        <v>0</v>
      </c>
      <c r="V18" s="171">
        <f>SUM(V15:V17)</f>
        <v>0</v>
      </c>
      <c r="W18" s="171">
        <f>SUM(W15:W17)</f>
        <v>0</v>
      </c>
      <c r="X18" s="171">
        <f>SUM(X15:X17)</f>
        <v>0</v>
      </c>
      <c r="Y18" s="171">
        <f>SUM(Y15:Y17)</f>
        <v>-43743</v>
      </c>
      <c r="Z18" s="171">
        <f t="shared" ref="Z18:AZ18" si="3">SUM(Z15:Z17)</f>
        <v>0</v>
      </c>
      <c r="AA18" s="171">
        <f t="shared" si="3"/>
        <v>0</v>
      </c>
      <c r="AB18" s="171">
        <f t="shared" si="3"/>
        <v>0</v>
      </c>
      <c r="AC18" s="171">
        <f t="shared" si="3"/>
        <v>0</v>
      </c>
      <c r="AD18" s="171">
        <f t="shared" si="3"/>
        <v>0</v>
      </c>
      <c r="AE18" s="171">
        <f t="shared" si="3"/>
        <v>0</v>
      </c>
      <c r="AF18" s="171">
        <f t="shared" si="3"/>
        <v>0</v>
      </c>
      <c r="AG18" s="171">
        <f t="shared" si="3"/>
        <v>0</v>
      </c>
      <c r="AH18" s="171">
        <f t="shared" si="3"/>
        <v>0</v>
      </c>
      <c r="AI18" s="171">
        <f t="shared" si="3"/>
        <v>0</v>
      </c>
      <c r="AJ18" s="171">
        <f t="shared" si="3"/>
        <v>0</v>
      </c>
      <c r="AK18" s="171">
        <f t="shared" si="3"/>
        <v>0</v>
      </c>
      <c r="AL18" s="171">
        <f t="shared" si="3"/>
        <v>0</v>
      </c>
      <c r="AM18" s="171">
        <f t="shared" si="3"/>
        <v>0</v>
      </c>
      <c r="AN18" s="171">
        <f t="shared" si="3"/>
        <v>0</v>
      </c>
      <c r="AO18" s="171">
        <f t="shared" si="3"/>
        <v>0</v>
      </c>
      <c r="AP18" s="171">
        <f t="shared" si="3"/>
        <v>3391</v>
      </c>
      <c r="AQ18" s="171">
        <f t="shared" ref="AQ18" si="4">SUM(AQ15:AQ17)</f>
        <v>0</v>
      </c>
      <c r="AR18" s="171">
        <f t="shared" si="3"/>
        <v>0</v>
      </c>
      <c r="AS18" s="171">
        <f t="shared" si="3"/>
        <v>0</v>
      </c>
      <c r="AT18" s="171">
        <f t="shared" si="3"/>
        <v>0</v>
      </c>
      <c r="AU18" s="171">
        <f t="shared" si="3"/>
        <v>0</v>
      </c>
      <c r="AV18" s="171">
        <f t="shared" si="3"/>
        <v>0</v>
      </c>
      <c r="AW18" s="171">
        <f t="shared" si="3"/>
        <v>0</v>
      </c>
      <c r="AX18" s="171">
        <f t="shared" si="3"/>
        <v>0</v>
      </c>
      <c r="AY18" s="171">
        <f t="shared" si="3"/>
        <v>0</v>
      </c>
      <c r="AZ18" s="171">
        <f t="shared" si="3"/>
        <v>1357</v>
      </c>
    </row>
    <row r="19" spans="1:52">
      <c r="C19" s="154"/>
      <c r="D19" s="154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>
      <c r="B20" s="128" t="s">
        <v>37</v>
      </c>
      <c r="C20" s="154"/>
      <c r="D20" s="154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>
      <c r="B21" s="154" t="s">
        <v>196</v>
      </c>
      <c r="D21" s="154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>
      <c r="A22" s="152">
        <v>5</v>
      </c>
      <c r="C22" s="154" t="s">
        <v>38</v>
      </c>
      <c r="D22" s="154"/>
      <c r="E22" s="171">
        <f>'ADJ DETAIL INPUT'!E21</f>
        <v>96285</v>
      </c>
      <c r="F22" s="171">
        <f>'ADJ DETAIL INPUT'!F21</f>
        <v>0</v>
      </c>
      <c r="G22" s="171">
        <f>'ADJ DETAIL INPUT'!G21</f>
        <v>0</v>
      </c>
      <c r="H22" s="171">
        <f>'ADJ DETAIL INPUT'!H21</f>
        <v>0</v>
      </c>
      <c r="I22" s="171">
        <f>'ADJ DETAIL INPUT'!I21</f>
        <v>0</v>
      </c>
      <c r="J22" s="171">
        <f>'ADJ DETAIL INPUT'!J21</f>
        <v>0</v>
      </c>
      <c r="K22" s="171">
        <f>'ADJ DETAIL INPUT'!K21</f>
        <v>0</v>
      </c>
      <c r="L22" s="171">
        <f>'ADJ DETAIL INPUT'!L21</f>
        <v>0</v>
      </c>
      <c r="M22" s="171">
        <f>'ADJ DETAIL INPUT'!M21</f>
        <v>0</v>
      </c>
      <c r="N22" s="171">
        <f>'ADJ DETAIL INPUT'!N21</f>
        <v>0</v>
      </c>
      <c r="O22" s="171">
        <f>'ADJ DETAIL INPUT'!O21</f>
        <v>0</v>
      </c>
      <c r="P22" s="171">
        <f>'ADJ DETAIL INPUT'!P21</f>
        <v>0</v>
      </c>
      <c r="Q22" s="171">
        <f>'ADJ DETAIL INPUT'!Q21</f>
        <v>0</v>
      </c>
      <c r="R22" s="171">
        <f>'ADJ DETAIL INPUT'!R21</f>
        <v>3102</v>
      </c>
      <c r="S22" s="171">
        <f>'ADJ DETAIL INPUT'!S21</f>
        <v>-48898</v>
      </c>
      <c r="T22" s="171">
        <f>'ADJ DETAIL INPUT'!T21</f>
        <v>0</v>
      </c>
      <c r="U22" s="171">
        <f>'ADJ DETAIL INPUT'!U21</f>
        <v>0</v>
      </c>
      <c r="V22" s="171">
        <f>'ADJ DETAIL INPUT'!V21</f>
        <v>0</v>
      </c>
      <c r="W22" s="171">
        <f>'ADJ DETAIL INPUT'!W21</f>
        <v>0</v>
      </c>
      <c r="X22" s="171">
        <f>'ADJ DETAIL INPUT'!X21</f>
        <v>0</v>
      </c>
      <c r="Y22" s="171">
        <f>'ADJ DETAIL INPUT'!AA21</f>
        <v>-50489</v>
      </c>
      <c r="Z22" s="171">
        <f>'ADJ DETAIL INPUT'!AB21</f>
        <v>0</v>
      </c>
      <c r="AA22" s="171">
        <f>'ADJ DETAIL INPUT'!AC21</f>
        <v>0</v>
      </c>
      <c r="AB22" s="171">
        <f>'ADJ DETAIL INPUT'!AD21</f>
        <v>0</v>
      </c>
      <c r="AC22" s="171">
        <f>'ADJ DETAIL INPUT'!AE21</f>
        <v>0</v>
      </c>
      <c r="AD22" s="171">
        <f>'ADJ DETAIL INPUT'!AF21</f>
        <v>0</v>
      </c>
      <c r="AE22" s="171">
        <f>'ADJ DETAIL INPUT'!AG21</f>
        <v>0</v>
      </c>
      <c r="AF22" s="171">
        <f>'ADJ DETAIL INPUT'!AH21</f>
        <v>0</v>
      </c>
      <c r="AG22" s="171">
        <f>'ADJ DETAIL INPUT'!AI21</f>
        <v>0</v>
      </c>
      <c r="AH22" s="171">
        <f>'ADJ DETAIL INPUT'!AJ21</f>
        <v>0</v>
      </c>
      <c r="AI22" s="171">
        <f>'ADJ DETAIL INPUT'!AK21</f>
        <v>0</v>
      </c>
      <c r="AJ22" s="171">
        <f>'ADJ DETAIL INPUT'!AL21</f>
        <v>0</v>
      </c>
      <c r="AK22" s="171">
        <f>'ADJ DETAIL INPUT'!AM21</f>
        <v>0</v>
      </c>
      <c r="AL22" s="171">
        <f>'ADJ DETAIL INPUT'!AN21</f>
        <v>0</v>
      </c>
      <c r="AM22" s="171">
        <f>'ADJ DETAIL INPUT'!AO21</f>
        <v>0</v>
      </c>
      <c r="AN22" s="171">
        <f>'ADJ DETAIL INPUT'!AP21</f>
        <v>0</v>
      </c>
      <c r="AO22" s="171">
        <f>'ADJ DETAIL INPUT'!AQ21</f>
        <v>0</v>
      </c>
      <c r="AP22" s="171">
        <f>'ADJ DETAIL INPUT'!AR21</f>
        <v>0</v>
      </c>
      <c r="AQ22" s="171">
        <f>'ADJ DETAIL INPUT'!AV21</f>
        <v>0</v>
      </c>
      <c r="AR22" s="171">
        <f>'ADJ DETAIL INPUT'!AW21</f>
        <v>0</v>
      </c>
      <c r="AS22" s="171">
        <f>'ADJ DETAIL INPUT'!AX21</f>
        <v>0</v>
      </c>
      <c r="AT22" s="171">
        <f>'ADJ DETAIL INPUT'!AY21</f>
        <v>0</v>
      </c>
      <c r="AU22" s="171">
        <f>'ADJ DETAIL INPUT'!AZ21</f>
        <v>0</v>
      </c>
      <c r="AV22" s="171">
        <f>'ADJ DETAIL INPUT'!BA21</f>
        <v>0</v>
      </c>
      <c r="AW22" s="171">
        <f>'ADJ DETAIL INPUT'!BB21</f>
        <v>0</v>
      </c>
      <c r="AX22" s="171">
        <f>'ADJ DETAIL INPUT'!BC21</f>
        <v>0</v>
      </c>
      <c r="AY22" s="171">
        <f>'ADJ DETAIL INPUT'!BD21</f>
        <v>0</v>
      </c>
      <c r="AZ22" s="171">
        <f>'ADJ DETAIL INPUT'!BE21</f>
        <v>0</v>
      </c>
    </row>
    <row r="23" spans="1:52">
      <c r="A23" s="152">
        <v>6</v>
      </c>
      <c r="C23" s="154" t="s">
        <v>39</v>
      </c>
      <c r="D23" s="154"/>
      <c r="E23" s="171">
        <f>'ADJ DETAIL INPUT'!E22</f>
        <v>762</v>
      </c>
      <c r="F23" s="171">
        <f>'ADJ DETAIL INPUT'!F22</f>
        <v>0</v>
      </c>
      <c r="G23" s="171">
        <f>'ADJ DETAIL INPUT'!G22</f>
        <v>0</v>
      </c>
      <c r="H23" s="171">
        <f>'ADJ DETAIL INPUT'!H22</f>
        <v>0</v>
      </c>
      <c r="I23" s="171">
        <f>'ADJ DETAIL INPUT'!I22</f>
        <v>0</v>
      </c>
      <c r="J23" s="171">
        <f>'ADJ DETAIL INPUT'!J22</f>
        <v>0</v>
      </c>
      <c r="K23" s="171">
        <f>'ADJ DETAIL INPUT'!K22</f>
        <v>0</v>
      </c>
      <c r="L23" s="171">
        <f>'ADJ DETAIL INPUT'!L22</f>
        <v>0</v>
      </c>
      <c r="M23" s="171">
        <f>'ADJ DETAIL INPUT'!M22</f>
        <v>0</v>
      </c>
      <c r="N23" s="171">
        <f>'ADJ DETAIL INPUT'!N22</f>
        <v>0</v>
      </c>
      <c r="O23" s="171">
        <f>'ADJ DETAIL INPUT'!O22</f>
        <v>0</v>
      </c>
      <c r="P23" s="171">
        <f>'ADJ DETAIL INPUT'!P22</f>
        <v>0</v>
      </c>
      <c r="Q23" s="171">
        <f>'ADJ DETAIL INPUT'!Q22</f>
        <v>0</v>
      </c>
      <c r="R23" s="171">
        <f>'ADJ DETAIL INPUT'!R22</f>
        <v>2</v>
      </c>
      <c r="S23" s="171">
        <f>'ADJ DETAIL INPUT'!S22</f>
        <v>0</v>
      </c>
      <c r="T23" s="171">
        <f>'ADJ DETAIL INPUT'!T22</f>
        <v>0</v>
      </c>
      <c r="U23" s="171">
        <f>'ADJ DETAIL INPUT'!U22</f>
        <v>0</v>
      </c>
      <c r="V23" s="171">
        <f>'ADJ DETAIL INPUT'!V22</f>
        <v>0</v>
      </c>
      <c r="W23" s="171">
        <f>'ADJ DETAIL INPUT'!W22</f>
        <v>0</v>
      </c>
      <c r="X23" s="171">
        <f>'ADJ DETAIL INPUT'!X22</f>
        <v>0</v>
      </c>
      <c r="Y23" s="171">
        <f>'ADJ DETAIL INPUT'!AA22</f>
        <v>0</v>
      </c>
      <c r="Z23" s="171">
        <f>'ADJ DETAIL INPUT'!AB22</f>
        <v>0</v>
      </c>
      <c r="AA23" s="171">
        <f>'ADJ DETAIL INPUT'!AC22</f>
        <v>0</v>
      </c>
      <c r="AB23" s="171">
        <f>'ADJ DETAIL INPUT'!AD22</f>
        <v>0</v>
      </c>
      <c r="AC23" s="171">
        <f>'ADJ DETAIL INPUT'!AE22</f>
        <v>0</v>
      </c>
      <c r="AD23" s="171">
        <f>'ADJ DETAIL INPUT'!AF22</f>
        <v>0</v>
      </c>
      <c r="AE23" s="171">
        <f>'ADJ DETAIL INPUT'!AG22</f>
        <v>44</v>
      </c>
      <c r="AF23" s="171">
        <f>'ADJ DETAIL INPUT'!AH22</f>
        <v>0</v>
      </c>
      <c r="AG23" s="171">
        <f>'ADJ DETAIL INPUT'!AI22</f>
        <v>-4</v>
      </c>
      <c r="AH23" s="171">
        <f>'ADJ DETAIL INPUT'!AJ22</f>
        <v>0</v>
      </c>
      <c r="AI23" s="171">
        <f>'ADJ DETAIL INPUT'!AK22</f>
        <v>0</v>
      </c>
      <c r="AJ23" s="171">
        <f>'ADJ DETAIL INPUT'!AL22</f>
        <v>0</v>
      </c>
      <c r="AK23" s="171">
        <f>'ADJ DETAIL INPUT'!AM22</f>
        <v>0</v>
      </c>
      <c r="AL23" s="171">
        <f>'ADJ DETAIL INPUT'!AN22</f>
        <v>12.926</v>
      </c>
      <c r="AM23" s="171">
        <f>'ADJ DETAIL INPUT'!AO22</f>
        <v>0</v>
      </c>
      <c r="AN23" s="171">
        <f>'ADJ DETAIL INPUT'!AP22</f>
        <v>0</v>
      </c>
      <c r="AO23" s="171">
        <f>'ADJ DETAIL INPUT'!AQ22</f>
        <v>0</v>
      </c>
      <c r="AP23" s="171">
        <f>'ADJ DETAIL INPUT'!AR22</f>
        <v>0</v>
      </c>
      <c r="AQ23" s="171">
        <f>'ADJ DETAIL INPUT'!AV22</f>
        <v>0</v>
      </c>
      <c r="AR23" s="171">
        <f>'ADJ DETAIL INPUT'!AW22</f>
        <v>0</v>
      </c>
      <c r="AS23" s="171">
        <f>'ADJ DETAIL INPUT'!AX22</f>
        <v>18</v>
      </c>
      <c r="AT23" s="171">
        <f>'ADJ DETAIL INPUT'!AY22</f>
        <v>4</v>
      </c>
      <c r="AU23" s="171">
        <f>'ADJ DETAIL INPUT'!AZ22</f>
        <v>0</v>
      </c>
      <c r="AV23" s="171">
        <f>'ADJ DETAIL INPUT'!BA22</f>
        <v>0</v>
      </c>
      <c r="AW23" s="171">
        <f>'ADJ DETAIL INPUT'!BB22</f>
        <v>0</v>
      </c>
      <c r="AX23" s="171">
        <f>'ADJ DETAIL INPUT'!BC22</f>
        <v>5.7450000000000001</v>
      </c>
      <c r="AY23" s="171">
        <f>'ADJ DETAIL INPUT'!BD22</f>
        <v>0</v>
      </c>
      <c r="AZ23" s="171">
        <f>'ADJ DETAIL INPUT'!BE22</f>
        <v>0</v>
      </c>
    </row>
    <row r="24" spans="1:52">
      <c r="A24" s="152">
        <v>7</v>
      </c>
      <c r="C24" s="154" t="s">
        <v>40</v>
      </c>
      <c r="D24" s="154"/>
      <c r="E24" s="172">
        <f>'ADJ DETAIL INPUT'!E23</f>
        <v>-6010</v>
      </c>
      <c r="F24" s="172">
        <f>'ADJ DETAIL INPUT'!F23</f>
        <v>0</v>
      </c>
      <c r="G24" s="172">
        <f>'ADJ DETAIL INPUT'!G23</f>
        <v>0</v>
      </c>
      <c r="H24" s="172">
        <f>'ADJ DETAIL INPUT'!H23</f>
        <v>0</v>
      </c>
      <c r="I24" s="172">
        <f>'ADJ DETAIL INPUT'!I23</f>
        <v>0</v>
      </c>
      <c r="J24" s="172">
        <f>'ADJ DETAIL INPUT'!J23</f>
        <v>0</v>
      </c>
      <c r="K24" s="172">
        <f>'ADJ DETAIL INPUT'!K23</f>
        <v>0</v>
      </c>
      <c r="L24" s="172">
        <f>'ADJ DETAIL INPUT'!L23</f>
        <v>0</v>
      </c>
      <c r="M24" s="172">
        <f>'ADJ DETAIL INPUT'!M23</f>
        <v>0</v>
      </c>
      <c r="N24" s="172">
        <f>'ADJ DETAIL INPUT'!N23</f>
        <v>0</v>
      </c>
      <c r="O24" s="172">
        <f>'ADJ DETAIL INPUT'!O23</f>
        <v>0</v>
      </c>
      <c r="P24" s="172">
        <f>'ADJ DETAIL INPUT'!P23</f>
        <v>0</v>
      </c>
      <c r="Q24" s="172">
        <f>'ADJ DETAIL INPUT'!Q23</f>
        <v>0</v>
      </c>
      <c r="R24" s="172">
        <f>'ADJ DETAIL INPUT'!R23</f>
        <v>0</v>
      </c>
      <c r="S24" s="172">
        <f>'ADJ DETAIL INPUT'!S23</f>
        <v>6010</v>
      </c>
      <c r="T24" s="172">
        <f>'ADJ DETAIL INPUT'!T23</f>
        <v>0</v>
      </c>
      <c r="U24" s="172">
        <f>'ADJ DETAIL INPUT'!U23</f>
        <v>0</v>
      </c>
      <c r="V24" s="172">
        <f>'ADJ DETAIL INPUT'!V23</f>
        <v>0</v>
      </c>
      <c r="W24" s="172">
        <f>'ADJ DETAIL INPUT'!W23</f>
        <v>0</v>
      </c>
      <c r="X24" s="172">
        <f>'ADJ DETAIL INPUT'!X23</f>
        <v>0</v>
      </c>
      <c r="Y24" s="172">
        <f>'ADJ DETAIL INPUT'!AA23</f>
        <v>0</v>
      </c>
      <c r="Z24" s="172">
        <f>'ADJ DETAIL INPUT'!AB23</f>
        <v>0</v>
      </c>
      <c r="AA24" s="172">
        <f>'ADJ DETAIL INPUT'!AC23</f>
        <v>0</v>
      </c>
      <c r="AB24" s="172">
        <f>'ADJ DETAIL INPUT'!AD23</f>
        <v>0</v>
      </c>
      <c r="AC24" s="172">
        <f>'ADJ DETAIL INPUT'!AE23</f>
        <v>0</v>
      </c>
      <c r="AD24" s="172">
        <f>'ADJ DETAIL INPUT'!AF23</f>
        <v>0</v>
      </c>
      <c r="AE24" s="172">
        <f>'ADJ DETAIL INPUT'!AG23</f>
        <v>0</v>
      </c>
      <c r="AF24" s="172">
        <f>'ADJ DETAIL INPUT'!AH23</f>
        <v>0</v>
      </c>
      <c r="AG24" s="172">
        <f>'ADJ DETAIL INPUT'!AI23</f>
        <v>0</v>
      </c>
      <c r="AH24" s="172">
        <f>'ADJ DETAIL INPUT'!AJ23</f>
        <v>0</v>
      </c>
      <c r="AI24" s="172">
        <f>'ADJ DETAIL INPUT'!AK23</f>
        <v>0</v>
      </c>
      <c r="AJ24" s="172">
        <f>'ADJ DETAIL INPUT'!AL23</f>
        <v>0</v>
      </c>
      <c r="AK24" s="172">
        <f>'ADJ DETAIL INPUT'!AM23</f>
        <v>0</v>
      </c>
      <c r="AL24" s="172">
        <f>'ADJ DETAIL INPUT'!AN23</f>
        <v>0</v>
      </c>
      <c r="AM24" s="172">
        <f>'ADJ DETAIL INPUT'!AO23</f>
        <v>0</v>
      </c>
      <c r="AN24" s="172">
        <f>'ADJ DETAIL INPUT'!AP23</f>
        <v>0</v>
      </c>
      <c r="AO24" s="172">
        <f>'ADJ DETAIL INPUT'!AQ23</f>
        <v>0</v>
      </c>
      <c r="AP24" s="172">
        <f>'ADJ DETAIL INPUT'!AR23</f>
        <v>0</v>
      </c>
      <c r="AQ24" s="172">
        <f>'ADJ DETAIL INPUT'!AV23</f>
        <v>0</v>
      </c>
      <c r="AR24" s="172">
        <f>'ADJ DETAIL INPUT'!AW23</f>
        <v>0</v>
      </c>
      <c r="AS24" s="172">
        <f>'ADJ DETAIL INPUT'!AX23</f>
        <v>0</v>
      </c>
      <c r="AT24" s="172">
        <f>'ADJ DETAIL INPUT'!AY23</f>
        <v>0</v>
      </c>
      <c r="AU24" s="172">
        <f>'ADJ DETAIL INPUT'!AZ23</f>
        <v>0</v>
      </c>
      <c r="AV24" s="172">
        <f>'ADJ DETAIL INPUT'!BA23</f>
        <v>0</v>
      </c>
      <c r="AW24" s="172">
        <f>'ADJ DETAIL INPUT'!BB23</f>
        <v>0</v>
      </c>
      <c r="AX24" s="172">
        <f>'ADJ DETAIL INPUT'!BC23</f>
        <v>0</v>
      </c>
      <c r="AY24" s="172">
        <f>'ADJ DETAIL INPUT'!BD23</f>
        <v>0</v>
      </c>
      <c r="AZ24" s="172">
        <f>'ADJ DETAIL INPUT'!BE23</f>
        <v>0</v>
      </c>
    </row>
    <row r="25" spans="1:52">
      <c r="A25" s="152">
        <v>8</v>
      </c>
      <c r="B25" s="154" t="s">
        <v>41</v>
      </c>
      <c r="C25" s="154"/>
      <c r="E25" s="173">
        <f>SUM(E22:E24)</f>
        <v>91037</v>
      </c>
      <c r="F25" s="173">
        <f t="shared" ref="F25:R25" si="5">SUM(F22:F24)</f>
        <v>0</v>
      </c>
      <c r="G25" s="173">
        <f t="shared" si="5"/>
        <v>0</v>
      </c>
      <c r="H25" s="173">
        <f t="shared" si="5"/>
        <v>0</v>
      </c>
      <c r="I25" s="173">
        <f t="shared" si="5"/>
        <v>0</v>
      </c>
      <c r="J25" s="173">
        <f t="shared" si="5"/>
        <v>0</v>
      </c>
      <c r="K25" s="173">
        <f t="shared" si="5"/>
        <v>0</v>
      </c>
      <c r="L25" s="173">
        <f t="shared" si="5"/>
        <v>0</v>
      </c>
      <c r="M25" s="173">
        <f t="shared" si="5"/>
        <v>0</v>
      </c>
      <c r="N25" s="173">
        <f t="shared" si="5"/>
        <v>0</v>
      </c>
      <c r="O25" s="173">
        <f t="shared" si="5"/>
        <v>0</v>
      </c>
      <c r="P25" s="173">
        <f t="shared" si="5"/>
        <v>0</v>
      </c>
      <c r="Q25" s="173">
        <f t="shared" si="5"/>
        <v>0</v>
      </c>
      <c r="R25" s="173">
        <f t="shared" si="5"/>
        <v>3104</v>
      </c>
      <c r="S25" s="173">
        <f t="shared" ref="S25:T25" si="6">SUM(S22:S24)</f>
        <v>-42888</v>
      </c>
      <c r="T25" s="173">
        <f t="shared" si="6"/>
        <v>0</v>
      </c>
      <c r="U25" s="173">
        <f t="shared" ref="U25" si="7">SUM(U22:U24)</f>
        <v>0</v>
      </c>
      <c r="V25" s="173">
        <f>SUM(V22:V24)</f>
        <v>0</v>
      </c>
      <c r="W25" s="173">
        <f>SUM(W22:W24)</f>
        <v>0</v>
      </c>
      <c r="X25" s="173">
        <f>SUM(X22:X24)</f>
        <v>0</v>
      </c>
      <c r="Y25" s="173">
        <f>SUM(Y22:Y24)</f>
        <v>-50489</v>
      </c>
      <c r="Z25" s="173">
        <f t="shared" ref="Z25:AZ25" si="8">SUM(Z22:Z24)</f>
        <v>0</v>
      </c>
      <c r="AA25" s="173">
        <f t="shared" si="8"/>
        <v>0</v>
      </c>
      <c r="AB25" s="173">
        <f t="shared" si="8"/>
        <v>0</v>
      </c>
      <c r="AC25" s="173">
        <f t="shared" si="8"/>
        <v>0</v>
      </c>
      <c r="AD25" s="173">
        <f t="shared" si="8"/>
        <v>0</v>
      </c>
      <c r="AE25" s="173">
        <f t="shared" si="8"/>
        <v>44</v>
      </c>
      <c r="AF25" s="173">
        <f t="shared" si="8"/>
        <v>0</v>
      </c>
      <c r="AG25" s="173">
        <f t="shared" si="8"/>
        <v>-4</v>
      </c>
      <c r="AH25" s="173">
        <f t="shared" si="8"/>
        <v>0</v>
      </c>
      <c r="AI25" s="173">
        <f t="shared" si="8"/>
        <v>0</v>
      </c>
      <c r="AJ25" s="173">
        <f t="shared" si="8"/>
        <v>0</v>
      </c>
      <c r="AK25" s="173">
        <f t="shared" si="8"/>
        <v>0</v>
      </c>
      <c r="AL25" s="173">
        <f t="shared" si="8"/>
        <v>12.926</v>
      </c>
      <c r="AM25" s="173">
        <f t="shared" si="8"/>
        <v>0</v>
      </c>
      <c r="AN25" s="173">
        <f t="shared" si="8"/>
        <v>0</v>
      </c>
      <c r="AO25" s="173">
        <f t="shared" si="8"/>
        <v>0</v>
      </c>
      <c r="AP25" s="173">
        <f t="shared" si="8"/>
        <v>0</v>
      </c>
      <c r="AQ25" s="173">
        <f t="shared" ref="AQ25" si="9">SUM(AQ22:AQ24)</f>
        <v>0</v>
      </c>
      <c r="AR25" s="173">
        <f t="shared" si="8"/>
        <v>0</v>
      </c>
      <c r="AS25" s="173">
        <f t="shared" si="8"/>
        <v>18</v>
      </c>
      <c r="AT25" s="173">
        <f t="shared" si="8"/>
        <v>4</v>
      </c>
      <c r="AU25" s="173">
        <f t="shared" si="8"/>
        <v>0</v>
      </c>
      <c r="AV25" s="173">
        <f t="shared" si="8"/>
        <v>0</v>
      </c>
      <c r="AW25" s="173">
        <f t="shared" si="8"/>
        <v>0</v>
      </c>
      <c r="AX25" s="173">
        <f t="shared" si="8"/>
        <v>5.7450000000000001</v>
      </c>
      <c r="AY25" s="173">
        <f t="shared" si="8"/>
        <v>0</v>
      </c>
      <c r="AZ25" s="173">
        <f t="shared" si="8"/>
        <v>0</v>
      </c>
    </row>
    <row r="26" spans="1:52">
      <c r="B26" s="154"/>
      <c r="C26" s="154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>
      <c r="B27" s="154" t="s">
        <v>42</v>
      </c>
      <c r="D27" s="154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>
      <c r="A28" s="152">
        <v>9</v>
      </c>
      <c r="C28" s="154" t="s">
        <v>43</v>
      </c>
      <c r="D28" s="154"/>
      <c r="E28" s="171">
        <f>'ADJ DETAIL INPUT'!E27</f>
        <v>1957</v>
      </c>
      <c r="F28" s="171">
        <f>'ADJ DETAIL INPUT'!F27</f>
        <v>0</v>
      </c>
      <c r="G28" s="171">
        <f>'ADJ DETAIL INPUT'!G27</f>
        <v>0</v>
      </c>
      <c r="H28" s="171">
        <f>'ADJ DETAIL INPUT'!H27</f>
        <v>0</v>
      </c>
      <c r="I28" s="171">
        <f>'ADJ DETAIL INPUT'!I27</f>
        <v>0</v>
      </c>
      <c r="J28" s="171">
        <f>'ADJ DETAIL INPUT'!J27</f>
        <v>0</v>
      </c>
      <c r="K28" s="171">
        <f>'ADJ DETAIL INPUT'!K27</f>
        <v>0</v>
      </c>
      <c r="L28" s="171">
        <f>'ADJ DETAIL INPUT'!L27</f>
        <v>0</v>
      </c>
      <c r="M28" s="171">
        <f>'ADJ DETAIL INPUT'!M27</f>
        <v>0</v>
      </c>
      <c r="N28" s="171">
        <f>'ADJ DETAIL INPUT'!N27</f>
        <v>0</v>
      </c>
      <c r="O28" s="171">
        <f>'ADJ DETAIL INPUT'!O27</f>
        <v>0</v>
      </c>
      <c r="P28" s="171">
        <f>'ADJ DETAIL INPUT'!P27</f>
        <v>0</v>
      </c>
      <c r="Q28" s="171">
        <f>'ADJ DETAIL INPUT'!Q27</f>
        <v>0</v>
      </c>
      <c r="R28" s="171">
        <f>'ADJ DETAIL INPUT'!R27</f>
        <v>0</v>
      </c>
      <c r="S28" s="171">
        <f>'ADJ DETAIL INPUT'!S27</f>
        <v>0</v>
      </c>
      <c r="T28" s="171">
        <f>'ADJ DETAIL INPUT'!T27</f>
        <v>0</v>
      </c>
      <c r="U28" s="171">
        <f>'ADJ DETAIL INPUT'!U27</f>
        <v>0</v>
      </c>
      <c r="V28" s="171">
        <f>'ADJ DETAIL INPUT'!V27</f>
        <v>0</v>
      </c>
      <c r="W28" s="171">
        <f>'ADJ DETAIL INPUT'!W27</f>
        <v>0</v>
      </c>
      <c r="X28" s="171">
        <f>'ADJ DETAIL INPUT'!X27</f>
        <v>0</v>
      </c>
      <c r="Y28" s="171">
        <f>'ADJ DETAIL INPUT'!AA27</f>
        <v>0</v>
      </c>
      <c r="Z28" s="171">
        <f>'ADJ DETAIL INPUT'!AB27</f>
        <v>0</v>
      </c>
      <c r="AA28" s="171">
        <f>'ADJ DETAIL INPUT'!AC27</f>
        <v>0</v>
      </c>
      <c r="AB28" s="171">
        <f>'ADJ DETAIL INPUT'!AD27</f>
        <v>0</v>
      </c>
      <c r="AC28" s="171">
        <f>'ADJ DETAIL INPUT'!AE27</f>
        <v>0</v>
      </c>
      <c r="AD28" s="171">
        <f>'ADJ DETAIL INPUT'!AF27</f>
        <v>0</v>
      </c>
      <c r="AE28" s="171">
        <f>'ADJ DETAIL INPUT'!AG27</f>
        <v>0.3</v>
      </c>
      <c r="AF28" s="171">
        <f>'ADJ DETAIL INPUT'!AH27</f>
        <v>0</v>
      </c>
      <c r="AG28" s="171">
        <f>'ADJ DETAIL INPUT'!AI27</f>
        <v>0</v>
      </c>
      <c r="AH28" s="171">
        <f>'ADJ DETAIL INPUT'!AJ27</f>
        <v>0</v>
      </c>
      <c r="AI28" s="171">
        <f>'ADJ DETAIL INPUT'!AK27</f>
        <v>0</v>
      </c>
      <c r="AJ28" s="171">
        <f>'ADJ DETAIL INPUT'!AL27</f>
        <v>0</v>
      </c>
      <c r="AK28" s="171">
        <f>'ADJ DETAIL INPUT'!AM27</f>
        <v>0</v>
      </c>
      <c r="AL28" s="171">
        <f>'ADJ DETAIL INPUT'!AN27</f>
        <v>320.24599999999998</v>
      </c>
      <c r="AM28" s="171">
        <f>'ADJ DETAIL INPUT'!AO27</f>
        <v>0</v>
      </c>
      <c r="AN28" s="171">
        <f>'ADJ DETAIL INPUT'!AP27</f>
        <v>0</v>
      </c>
      <c r="AO28" s="171">
        <f>'ADJ DETAIL INPUT'!AQ27</f>
        <v>0</v>
      </c>
      <c r="AP28" s="171">
        <f>'ADJ DETAIL INPUT'!AR27</f>
        <v>0</v>
      </c>
      <c r="AQ28" s="171">
        <f>'ADJ DETAIL INPUT'!AV27</f>
        <v>0</v>
      </c>
      <c r="AR28" s="171">
        <f>'ADJ DETAIL INPUT'!AW27</f>
        <v>0</v>
      </c>
      <c r="AS28" s="171">
        <f>'ADJ DETAIL INPUT'!AX27</f>
        <v>0.1</v>
      </c>
      <c r="AT28" s="171">
        <f>'ADJ DETAIL INPUT'!AY27</f>
        <v>0</v>
      </c>
      <c r="AU28" s="171">
        <f>'ADJ DETAIL INPUT'!AZ27</f>
        <v>0</v>
      </c>
      <c r="AV28" s="171">
        <f>'ADJ DETAIL INPUT'!BA27</f>
        <v>0</v>
      </c>
      <c r="AW28" s="171">
        <f>'ADJ DETAIL INPUT'!BB27</f>
        <v>0</v>
      </c>
      <c r="AX28" s="171">
        <f>'ADJ DETAIL INPUT'!BC27</f>
        <v>142.33099999999999</v>
      </c>
      <c r="AY28" s="171">
        <f>'ADJ DETAIL INPUT'!BD27</f>
        <v>0</v>
      </c>
      <c r="AZ28" s="171">
        <f>'ADJ DETAIL INPUT'!BE27</f>
        <v>0</v>
      </c>
    </row>
    <row r="29" spans="1:52">
      <c r="A29" s="152">
        <v>10</v>
      </c>
      <c r="C29" s="154" t="s">
        <v>192</v>
      </c>
      <c r="D29" s="154"/>
      <c r="E29" s="171">
        <f>'ADJ DETAIL INPUT'!E28</f>
        <v>467</v>
      </c>
      <c r="F29" s="171">
        <f>'ADJ DETAIL INPUT'!F28</f>
        <v>0</v>
      </c>
      <c r="G29" s="171">
        <f>'ADJ DETAIL INPUT'!G28</f>
        <v>0</v>
      </c>
      <c r="H29" s="171">
        <f>'ADJ DETAIL INPUT'!H28</f>
        <v>0</v>
      </c>
      <c r="I29" s="171">
        <f>'ADJ DETAIL INPUT'!I28</f>
        <v>0</v>
      </c>
      <c r="J29" s="171">
        <f>'ADJ DETAIL INPUT'!J28</f>
        <v>0</v>
      </c>
      <c r="K29" s="171">
        <f>'ADJ DETAIL INPUT'!K28</f>
        <v>0</v>
      </c>
      <c r="L29" s="171">
        <f>'ADJ DETAIL INPUT'!L28</f>
        <v>0</v>
      </c>
      <c r="M29" s="171">
        <f>'ADJ DETAIL INPUT'!M28</f>
        <v>0</v>
      </c>
      <c r="N29" s="171">
        <f>'ADJ DETAIL INPUT'!N28</f>
        <v>0</v>
      </c>
      <c r="O29" s="171">
        <f>'ADJ DETAIL INPUT'!O28</f>
        <v>0</v>
      </c>
      <c r="P29" s="171">
        <f>'ADJ DETAIL INPUT'!P28</f>
        <v>0</v>
      </c>
      <c r="Q29" s="171">
        <f>'ADJ DETAIL INPUT'!Q28</f>
        <v>0</v>
      </c>
      <c r="R29" s="171">
        <f>'ADJ DETAIL INPUT'!R28</f>
        <v>0</v>
      </c>
      <c r="S29" s="171">
        <f>'ADJ DETAIL INPUT'!S28</f>
        <v>0</v>
      </c>
      <c r="T29" s="171">
        <f>'ADJ DETAIL INPUT'!T28</f>
        <v>0</v>
      </c>
      <c r="U29" s="171">
        <f>'ADJ DETAIL INPUT'!U28</f>
        <v>0</v>
      </c>
      <c r="V29" s="171">
        <f>'ADJ DETAIL INPUT'!V28</f>
        <v>0</v>
      </c>
      <c r="W29" s="171">
        <f>'ADJ DETAIL INPUT'!W28</f>
        <v>0</v>
      </c>
      <c r="X29" s="171">
        <f>'ADJ DETAIL INPUT'!X28</f>
        <v>0</v>
      </c>
      <c r="Y29" s="171">
        <f>'ADJ DETAIL INPUT'!AA28</f>
        <v>0</v>
      </c>
      <c r="Z29" s="171">
        <f>'ADJ DETAIL INPUT'!AB28</f>
        <v>0</v>
      </c>
      <c r="AA29" s="171">
        <f>'ADJ DETAIL INPUT'!AC28</f>
        <v>0</v>
      </c>
      <c r="AB29" s="171">
        <f>'ADJ DETAIL INPUT'!AD28</f>
        <v>0</v>
      </c>
      <c r="AC29" s="171">
        <f>'ADJ DETAIL INPUT'!AE28</f>
        <v>0</v>
      </c>
      <c r="AD29" s="171">
        <f>'ADJ DETAIL INPUT'!AF28</f>
        <v>0</v>
      </c>
      <c r="AE29" s="171">
        <f>'ADJ DETAIL INPUT'!AG28</f>
        <v>0</v>
      </c>
      <c r="AF29" s="171">
        <f>'ADJ DETAIL INPUT'!AH28</f>
        <v>0</v>
      </c>
      <c r="AG29" s="171">
        <f>'ADJ DETAIL INPUT'!AI28</f>
        <v>0</v>
      </c>
      <c r="AH29" s="171">
        <f>'ADJ DETAIL INPUT'!AJ28</f>
        <v>0</v>
      </c>
      <c r="AI29" s="171">
        <f>'ADJ DETAIL INPUT'!AK28</f>
        <v>0</v>
      </c>
      <c r="AJ29" s="171">
        <f>'ADJ DETAIL INPUT'!AL28</f>
        <v>0</v>
      </c>
      <c r="AK29" s="171">
        <f>'ADJ DETAIL INPUT'!AM28</f>
        <v>0</v>
      </c>
      <c r="AL29" s="171">
        <f>'ADJ DETAIL INPUT'!AN28</f>
        <v>0</v>
      </c>
      <c r="AM29" s="171">
        <f>'ADJ DETAIL INPUT'!AO28</f>
        <v>7</v>
      </c>
      <c r="AN29" s="171">
        <f>'ADJ DETAIL INPUT'!AP28</f>
        <v>22</v>
      </c>
      <c r="AO29" s="171">
        <f>'ADJ DETAIL INPUT'!AQ28</f>
        <v>21</v>
      </c>
      <c r="AP29" s="171">
        <f>'ADJ DETAIL INPUT'!AR28</f>
        <v>0</v>
      </c>
      <c r="AQ29" s="171">
        <f>'ADJ DETAIL INPUT'!AV28</f>
        <v>0</v>
      </c>
      <c r="AR29" s="171">
        <f>'ADJ DETAIL INPUT'!AW28</f>
        <v>0</v>
      </c>
      <c r="AS29" s="171">
        <f>'ADJ DETAIL INPUT'!AX28</f>
        <v>0</v>
      </c>
      <c r="AT29" s="171">
        <f>'ADJ DETAIL INPUT'!AY28</f>
        <v>0</v>
      </c>
      <c r="AU29" s="171">
        <f>'ADJ DETAIL INPUT'!AZ28</f>
        <v>0</v>
      </c>
      <c r="AV29" s="171">
        <f>'ADJ DETAIL INPUT'!BA28</f>
        <v>0</v>
      </c>
      <c r="AW29" s="171">
        <f>'ADJ DETAIL INPUT'!BB28</f>
        <v>0</v>
      </c>
      <c r="AX29" s="171">
        <f>'ADJ DETAIL INPUT'!BC28</f>
        <v>0</v>
      </c>
      <c r="AY29" s="171">
        <f>'ADJ DETAIL INPUT'!BD28</f>
        <v>22</v>
      </c>
      <c r="AZ29" s="171">
        <f>'ADJ DETAIL INPUT'!BE28</f>
        <v>0</v>
      </c>
    </row>
    <row r="30" spans="1:52">
      <c r="A30" s="152">
        <v>11</v>
      </c>
      <c r="C30" s="154" t="s">
        <v>21</v>
      </c>
      <c r="D30" s="154"/>
      <c r="E30" s="172">
        <f>'ADJ DETAIL INPUT'!E29</f>
        <v>187</v>
      </c>
      <c r="F30" s="172">
        <f>'ADJ DETAIL INPUT'!F29</f>
        <v>0</v>
      </c>
      <c r="G30" s="172">
        <f>'ADJ DETAIL INPUT'!G29</f>
        <v>0</v>
      </c>
      <c r="H30" s="172">
        <f>'ADJ DETAIL INPUT'!H29</f>
        <v>0</v>
      </c>
      <c r="I30" s="172">
        <f>'ADJ DETAIL INPUT'!I29</f>
        <v>0</v>
      </c>
      <c r="J30" s="172">
        <f>'ADJ DETAIL INPUT'!J29</f>
        <v>0</v>
      </c>
      <c r="K30" s="172">
        <f>'ADJ DETAIL INPUT'!K29</f>
        <v>0</v>
      </c>
      <c r="L30" s="172">
        <f>'ADJ DETAIL INPUT'!L29</f>
        <v>0</v>
      </c>
      <c r="M30" s="172">
        <f>'ADJ DETAIL INPUT'!M29</f>
        <v>0</v>
      </c>
      <c r="N30" s="172">
        <f>'ADJ DETAIL INPUT'!N29</f>
        <v>0</v>
      </c>
      <c r="O30" s="172">
        <f>'ADJ DETAIL INPUT'!O29</f>
        <v>0</v>
      </c>
      <c r="P30" s="172">
        <f>'ADJ DETAIL INPUT'!P29</f>
        <v>0</v>
      </c>
      <c r="Q30" s="172">
        <f>'ADJ DETAIL INPUT'!Q29</f>
        <v>0</v>
      </c>
      <c r="R30" s="172">
        <f>'ADJ DETAIL INPUT'!R29</f>
        <v>0</v>
      </c>
      <c r="S30" s="172">
        <f>'ADJ DETAIL INPUT'!S29</f>
        <v>0</v>
      </c>
      <c r="T30" s="172">
        <f>'ADJ DETAIL INPUT'!T29</f>
        <v>0</v>
      </c>
      <c r="U30" s="172">
        <f>'ADJ DETAIL INPUT'!U29</f>
        <v>0</v>
      </c>
      <c r="V30" s="172">
        <f>'ADJ DETAIL INPUT'!V29</f>
        <v>0</v>
      </c>
      <c r="W30" s="172">
        <f>'ADJ DETAIL INPUT'!W29</f>
        <v>0</v>
      </c>
      <c r="X30" s="172">
        <f>'ADJ DETAIL INPUT'!X29</f>
        <v>0</v>
      </c>
      <c r="Y30" s="172">
        <f>'ADJ DETAIL INPUT'!AA29</f>
        <v>0</v>
      </c>
      <c r="Z30" s="172">
        <f>'ADJ DETAIL INPUT'!AB29</f>
        <v>0</v>
      </c>
      <c r="AA30" s="172">
        <f>'ADJ DETAIL INPUT'!AC29</f>
        <v>0</v>
      </c>
      <c r="AB30" s="172">
        <f>'ADJ DETAIL INPUT'!AD29</f>
        <v>0</v>
      </c>
      <c r="AC30" s="172">
        <f>'ADJ DETAIL INPUT'!AE29</f>
        <v>0</v>
      </c>
      <c r="AD30" s="172">
        <f>'ADJ DETAIL INPUT'!AF29</f>
        <v>0</v>
      </c>
      <c r="AE30" s="172">
        <f>'ADJ DETAIL INPUT'!AG29</f>
        <v>0</v>
      </c>
      <c r="AF30" s="172">
        <f>'ADJ DETAIL INPUT'!AH29</f>
        <v>0</v>
      </c>
      <c r="AG30" s="172">
        <f>'ADJ DETAIL INPUT'!AI29</f>
        <v>0</v>
      </c>
      <c r="AH30" s="172">
        <f>'ADJ DETAIL INPUT'!AJ29</f>
        <v>0</v>
      </c>
      <c r="AI30" s="172">
        <f>'ADJ DETAIL INPUT'!AK29</f>
        <v>31</v>
      </c>
      <c r="AJ30" s="172">
        <f>'ADJ DETAIL INPUT'!AL29</f>
        <v>0</v>
      </c>
      <c r="AK30" s="172">
        <f>'ADJ DETAIL INPUT'!AM29</f>
        <v>0</v>
      </c>
      <c r="AL30" s="172">
        <f>'ADJ DETAIL INPUT'!AN29</f>
        <v>0</v>
      </c>
      <c r="AM30" s="172">
        <f>'ADJ DETAIL INPUT'!AO29</f>
        <v>0</v>
      </c>
      <c r="AN30" s="172">
        <f>'ADJ DETAIL INPUT'!AP29</f>
        <v>0</v>
      </c>
      <c r="AO30" s="172">
        <f>'ADJ DETAIL INPUT'!AQ29</f>
        <v>0</v>
      </c>
      <c r="AP30" s="172">
        <f>'ADJ DETAIL INPUT'!AR29</f>
        <v>0</v>
      </c>
      <c r="AQ30" s="172">
        <f>'ADJ DETAIL INPUT'!AV29</f>
        <v>0</v>
      </c>
      <c r="AR30" s="172">
        <f>'ADJ DETAIL INPUT'!AW29</f>
        <v>0</v>
      </c>
      <c r="AS30" s="172">
        <f>'ADJ DETAIL INPUT'!AX29</f>
        <v>0</v>
      </c>
      <c r="AT30" s="172">
        <f>'ADJ DETAIL INPUT'!AY29</f>
        <v>0</v>
      </c>
      <c r="AU30" s="172">
        <f>'ADJ DETAIL INPUT'!AZ29</f>
        <v>14</v>
      </c>
      <c r="AV30" s="172">
        <f>'ADJ DETAIL INPUT'!BA29</f>
        <v>0</v>
      </c>
      <c r="AW30" s="172">
        <f>'ADJ DETAIL INPUT'!BB29</f>
        <v>0</v>
      </c>
      <c r="AX30" s="172">
        <f>'ADJ DETAIL INPUT'!BC29</f>
        <v>0</v>
      </c>
      <c r="AY30" s="172">
        <f>'ADJ DETAIL INPUT'!BD29</f>
        <v>0</v>
      </c>
      <c r="AZ30" s="172">
        <f>'ADJ DETAIL INPUT'!BE29</f>
        <v>0</v>
      </c>
    </row>
    <row r="31" spans="1:52">
      <c r="A31" s="152">
        <v>12</v>
      </c>
      <c r="B31" s="154" t="s">
        <v>45</v>
      </c>
      <c r="C31" s="154"/>
      <c r="E31" s="171">
        <f t="shared" ref="E31" si="10">SUM(E28:E30)</f>
        <v>2611</v>
      </c>
      <c r="F31" s="171">
        <f t="shared" ref="F31:R31" si="11">SUM(F28:F30)</f>
        <v>0</v>
      </c>
      <c r="G31" s="171">
        <f t="shared" si="11"/>
        <v>0</v>
      </c>
      <c r="H31" s="171">
        <f t="shared" si="11"/>
        <v>0</v>
      </c>
      <c r="I31" s="171">
        <f t="shared" si="11"/>
        <v>0</v>
      </c>
      <c r="J31" s="171">
        <f t="shared" si="11"/>
        <v>0</v>
      </c>
      <c r="K31" s="171">
        <f t="shared" si="11"/>
        <v>0</v>
      </c>
      <c r="L31" s="171">
        <f t="shared" si="11"/>
        <v>0</v>
      </c>
      <c r="M31" s="171">
        <f t="shared" si="11"/>
        <v>0</v>
      </c>
      <c r="N31" s="171">
        <f t="shared" si="11"/>
        <v>0</v>
      </c>
      <c r="O31" s="171">
        <f t="shared" si="11"/>
        <v>0</v>
      </c>
      <c r="P31" s="171">
        <f t="shared" si="11"/>
        <v>0</v>
      </c>
      <c r="Q31" s="171">
        <f t="shared" si="11"/>
        <v>0</v>
      </c>
      <c r="R31" s="171">
        <f t="shared" si="11"/>
        <v>0</v>
      </c>
      <c r="S31" s="171">
        <f t="shared" ref="S31:T31" si="12">SUM(S28:S30)</f>
        <v>0</v>
      </c>
      <c r="T31" s="171">
        <f t="shared" si="12"/>
        <v>0</v>
      </c>
      <c r="U31" s="171">
        <f t="shared" ref="U31" si="13">SUM(U28:U30)</f>
        <v>0</v>
      </c>
      <c r="V31" s="171">
        <f>SUM(V28:V30)</f>
        <v>0</v>
      </c>
      <c r="W31" s="171">
        <f>SUM(W28:W30)</f>
        <v>0</v>
      </c>
      <c r="X31" s="171">
        <f>SUM(X28:X30)</f>
        <v>0</v>
      </c>
      <c r="Y31" s="171">
        <f>SUM(Y28:Y30)</f>
        <v>0</v>
      </c>
      <c r="Z31" s="171">
        <f t="shared" ref="Z31:AZ31" si="14">SUM(Z28:Z30)</f>
        <v>0</v>
      </c>
      <c r="AA31" s="171">
        <f t="shared" si="14"/>
        <v>0</v>
      </c>
      <c r="AB31" s="171">
        <f t="shared" si="14"/>
        <v>0</v>
      </c>
      <c r="AC31" s="171">
        <f t="shared" si="14"/>
        <v>0</v>
      </c>
      <c r="AD31" s="171">
        <f t="shared" si="14"/>
        <v>0</v>
      </c>
      <c r="AE31" s="171">
        <f t="shared" si="14"/>
        <v>0.3</v>
      </c>
      <c r="AF31" s="171">
        <f t="shared" si="14"/>
        <v>0</v>
      </c>
      <c r="AG31" s="171">
        <f t="shared" si="14"/>
        <v>0</v>
      </c>
      <c r="AH31" s="171">
        <f t="shared" si="14"/>
        <v>0</v>
      </c>
      <c r="AI31" s="171">
        <f t="shared" si="14"/>
        <v>31</v>
      </c>
      <c r="AJ31" s="171">
        <f t="shared" si="14"/>
        <v>0</v>
      </c>
      <c r="AK31" s="171">
        <f t="shared" si="14"/>
        <v>0</v>
      </c>
      <c r="AL31" s="171">
        <f t="shared" si="14"/>
        <v>320.24599999999998</v>
      </c>
      <c r="AM31" s="171">
        <f t="shared" si="14"/>
        <v>7</v>
      </c>
      <c r="AN31" s="171">
        <f t="shared" si="14"/>
        <v>22</v>
      </c>
      <c r="AO31" s="171">
        <f t="shared" si="14"/>
        <v>21</v>
      </c>
      <c r="AP31" s="171">
        <f t="shared" si="14"/>
        <v>0</v>
      </c>
      <c r="AQ31" s="171">
        <f t="shared" ref="AQ31" si="15">SUM(AQ28:AQ30)</f>
        <v>0</v>
      </c>
      <c r="AR31" s="171">
        <f t="shared" si="14"/>
        <v>0</v>
      </c>
      <c r="AS31" s="171">
        <f t="shared" si="14"/>
        <v>0.1</v>
      </c>
      <c r="AT31" s="171">
        <f t="shared" si="14"/>
        <v>0</v>
      </c>
      <c r="AU31" s="171">
        <f t="shared" si="14"/>
        <v>14</v>
      </c>
      <c r="AV31" s="171">
        <f t="shared" si="14"/>
        <v>0</v>
      </c>
      <c r="AW31" s="171">
        <f t="shared" si="14"/>
        <v>0</v>
      </c>
      <c r="AX31" s="171">
        <f t="shared" si="14"/>
        <v>142.33099999999999</v>
      </c>
      <c r="AY31" s="171">
        <f t="shared" si="14"/>
        <v>22</v>
      </c>
      <c r="AZ31" s="171">
        <f t="shared" si="14"/>
        <v>0</v>
      </c>
    </row>
    <row r="32" spans="1:52">
      <c r="B32" s="154"/>
      <c r="C32" s="154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>
      <c r="B33" s="154" t="s">
        <v>46</v>
      </c>
      <c r="D33" s="154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>
      <c r="A34" s="152">
        <v>13</v>
      </c>
      <c r="C34" s="154" t="s">
        <v>43</v>
      </c>
      <c r="D34" s="154"/>
      <c r="E34" s="171">
        <f>'ADJ DETAIL INPUT'!E33</f>
        <v>12281</v>
      </c>
      <c r="F34" s="171">
        <f>'ADJ DETAIL INPUT'!F33</f>
        <v>0</v>
      </c>
      <c r="G34" s="171">
        <f>'ADJ DETAIL INPUT'!G33</f>
        <v>0</v>
      </c>
      <c r="H34" s="171">
        <f>'ADJ DETAIL INPUT'!H33</f>
        <v>0</v>
      </c>
      <c r="I34" s="171">
        <f>'ADJ DETAIL INPUT'!I33</f>
        <v>0</v>
      </c>
      <c r="J34" s="171">
        <f>'ADJ DETAIL INPUT'!J33</f>
        <v>0</v>
      </c>
      <c r="K34" s="171">
        <f>'ADJ DETAIL INPUT'!K33</f>
        <v>0</v>
      </c>
      <c r="L34" s="171">
        <f>'ADJ DETAIL INPUT'!L33</f>
        <v>0</v>
      </c>
      <c r="M34" s="171">
        <f>'ADJ DETAIL INPUT'!M33</f>
        <v>0</v>
      </c>
      <c r="N34" s="171">
        <f>'ADJ DETAIL INPUT'!N33</f>
        <v>0</v>
      </c>
      <c r="O34" s="171">
        <f>'ADJ DETAIL INPUT'!O33</f>
        <v>0</v>
      </c>
      <c r="P34" s="171">
        <f>'ADJ DETAIL INPUT'!P33</f>
        <v>0</v>
      </c>
      <c r="Q34" s="171">
        <f>'ADJ DETAIL INPUT'!Q33</f>
        <v>0</v>
      </c>
      <c r="R34" s="171">
        <f>'ADJ DETAIL INPUT'!R33</f>
        <v>0</v>
      </c>
      <c r="S34" s="171">
        <f>'ADJ DETAIL INPUT'!S33</f>
        <v>0</v>
      </c>
      <c r="T34" s="171">
        <f>'ADJ DETAIL INPUT'!T33</f>
        <v>-14</v>
      </c>
      <c r="U34" s="171">
        <f>'ADJ DETAIL INPUT'!U33</f>
        <v>0</v>
      </c>
      <c r="V34" s="171">
        <f>'ADJ DETAIL INPUT'!V33</f>
        <v>0</v>
      </c>
      <c r="W34" s="171">
        <f>'ADJ DETAIL INPUT'!W33</f>
        <v>0</v>
      </c>
      <c r="X34" s="171">
        <f>'ADJ DETAIL INPUT'!X33</f>
        <v>0</v>
      </c>
      <c r="Y34" s="171">
        <f>'ADJ DETAIL INPUT'!AA33</f>
        <v>0</v>
      </c>
      <c r="Z34" s="171">
        <f>'ADJ DETAIL INPUT'!AB33</f>
        <v>0</v>
      </c>
      <c r="AA34" s="171">
        <f>'ADJ DETAIL INPUT'!AC33</f>
        <v>0</v>
      </c>
      <c r="AB34" s="171">
        <f>'ADJ DETAIL INPUT'!AD33</f>
        <v>-700</v>
      </c>
      <c r="AC34" s="171">
        <f>'ADJ DETAIL INPUT'!AE33</f>
        <v>0</v>
      </c>
      <c r="AD34" s="171">
        <f>'ADJ DETAIL INPUT'!AF33</f>
        <v>0</v>
      </c>
      <c r="AE34" s="171">
        <f>'ADJ DETAIL INPUT'!AG33</f>
        <v>983</v>
      </c>
      <c r="AF34" s="171">
        <f>'ADJ DETAIL INPUT'!AH33</f>
        <v>0</v>
      </c>
      <c r="AG34" s="171">
        <f>'ADJ DETAIL INPUT'!AI33</f>
        <v>-54</v>
      </c>
      <c r="AH34" s="171">
        <f>'ADJ DETAIL INPUT'!AJ33</f>
        <v>0</v>
      </c>
      <c r="AI34" s="171">
        <f>'ADJ DETAIL INPUT'!AK33</f>
        <v>0</v>
      </c>
      <c r="AJ34" s="171">
        <f>'ADJ DETAIL INPUT'!AL33</f>
        <v>0</v>
      </c>
      <c r="AK34" s="171">
        <f>'ADJ DETAIL INPUT'!AM33</f>
        <v>0</v>
      </c>
      <c r="AL34" s="171">
        <f>'ADJ DETAIL INPUT'!AN33</f>
        <v>915.70799999999997</v>
      </c>
      <c r="AM34" s="171">
        <f>'ADJ DETAIL INPUT'!AO33</f>
        <v>0</v>
      </c>
      <c r="AN34" s="171">
        <f>'ADJ DETAIL INPUT'!AP33</f>
        <v>0</v>
      </c>
      <c r="AO34" s="171">
        <f>'ADJ DETAIL INPUT'!AQ33</f>
        <v>0</v>
      </c>
      <c r="AP34" s="171">
        <f>'ADJ DETAIL INPUT'!AR33</f>
        <v>0</v>
      </c>
      <c r="AQ34" s="171">
        <f>'ADJ DETAIL INPUT'!AV33</f>
        <v>0</v>
      </c>
      <c r="AR34" s="171">
        <f>'ADJ DETAIL INPUT'!AW33</f>
        <v>-264</v>
      </c>
      <c r="AS34" s="171">
        <f>'ADJ DETAIL INPUT'!AX33</f>
        <v>260</v>
      </c>
      <c r="AT34" s="171">
        <f>'ADJ DETAIL INPUT'!AY33</f>
        <v>63</v>
      </c>
      <c r="AU34" s="171">
        <f>'ADJ DETAIL INPUT'!AZ33</f>
        <v>0</v>
      </c>
      <c r="AV34" s="171">
        <f>'ADJ DETAIL INPUT'!BA33</f>
        <v>0</v>
      </c>
      <c r="AW34" s="171">
        <f>'ADJ DETAIL INPUT'!BB33</f>
        <v>0</v>
      </c>
      <c r="AX34" s="171">
        <f>'ADJ DETAIL INPUT'!BC33</f>
        <v>406.98099999999999</v>
      </c>
      <c r="AY34" s="171">
        <f>'ADJ DETAIL INPUT'!BD33</f>
        <v>0</v>
      </c>
      <c r="AZ34" s="171">
        <f>'ADJ DETAIL INPUT'!BE33</f>
        <v>0</v>
      </c>
    </row>
    <row r="35" spans="1:52">
      <c r="A35" s="152">
        <v>14</v>
      </c>
      <c r="C35" s="154" t="s">
        <v>192</v>
      </c>
      <c r="D35" s="154"/>
      <c r="E35" s="173">
        <f>'ADJ DETAIL INPUT'!E34</f>
        <v>14391</v>
      </c>
      <c r="F35" s="173">
        <f>'ADJ DETAIL INPUT'!F34</f>
        <v>0</v>
      </c>
      <c r="G35" s="173">
        <f>'ADJ DETAIL INPUT'!G34</f>
        <v>0</v>
      </c>
      <c r="H35" s="173">
        <f>'ADJ DETAIL INPUT'!H34</f>
        <v>0</v>
      </c>
      <c r="I35" s="173">
        <f>'ADJ DETAIL INPUT'!I34</f>
        <v>0</v>
      </c>
      <c r="J35" s="173">
        <f>'ADJ DETAIL INPUT'!J34</f>
        <v>0</v>
      </c>
      <c r="K35" s="173">
        <f>'ADJ DETAIL INPUT'!K34</f>
        <v>0</v>
      </c>
      <c r="L35" s="173">
        <f>'ADJ DETAIL INPUT'!L34</f>
        <v>0</v>
      </c>
      <c r="M35" s="173">
        <f>'ADJ DETAIL INPUT'!M34</f>
        <v>0</v>
      </c>
      <c r="N35" s="173">
        <f>'ADJ DETAIL INPUT'!N34</f>
        <v>0</v>
      </c>
      <c r="O35" s="173">
        <f>'ADJ DETAIL INPUT'!O34</f>
        <v>0</v>
      </c>
      <c r="P35" s="173">
        <f>'ADJ DETAIL INPUT'!P34</f>
        <v>0</v>
      </c>
      <c r="Q35" s="173">
        <f>'ADJ DETAIL INPUT'!Q34</f>
        <v>-11</v>
      </c>
      <c r="R35" s="173">
        <f>'ADJ DETAIL INPUT'!R34</f>
        <v>0</v>
      </c>
      <c r="S35" s="173">
        <f>'ADJ DETAIL INPUT'!S34</f>
        <v>0</v>
      </c>
      <c r="T35" s="173">
        <f>'ADJ DETAIL INPUT'!T34</f>
        <v>0</v>
      </c>
      <c r="U35" s="173">
        <f>'ADJ DETAIL INPUT'!U34</f>
        <v>0</v>
      </c>
      <c r="V35" s="173">
        <f>'ADJ DETAIL INPUT'!V34</f>
        <v>0</v>
      </c>
      <c r="W35" s="173">
        <f>'ADJ DETAIL INPUT'!W34</f>
        <v>0</v>
      </c>
      <c r="X35" s="173">
        <f>'ADJ DETAIL INPUT'!X34</f>
        <v>0</v>
      </c>
      <c r="Y35" s="173">
        <f>'ADJ DETAIL INPUT'!AA34</f>
        <v>0</v>
      </c>
      <c r="Z35" s="173">
        <f>'ADJ DETAIL INPUT'!AB34</f>
        <v>0</v>
      </c>
      <c r="AA35" s="173">
        <f>'ADJ DETAIL INPUT'!AC34</f>
        <v>0</v>
      </c>
      <c r="AB35" s="173">
        <f>'ADJ DETAIL INPUT'!AD34</f>
        <v>0</v>
      </c>
      <c r="AC35" s="173">
        <f>'ADJ DETAIL INPUT'!AE34</f>
        <v>0</v>
      </c>
      <c r="AD35" s="173">
        <f>'ADJ DETAIL INPUT'!AF34</f>
        <v>0</v>
      </c>
      <c r="AE35" s="173">
        <f>'ADJ DETAIL INPUT'!AG34</f>
        <v>0</v>
      </c>
      <c r="AF35" s="173">
        <f>'ADJ DETAIL INPUT'!AH34</f>
        <v>0</v>
      </c>
      <c r="AG35" s="173">
        <f>'ADJ DETAIL INPUT'!AI34</f>
        <v>0</v>
      </c>
      <c r="AH35" s="173">
        <f>'ADJ DETAIL INPUT'!AJ34</f>
        <v>0</v>
      </c>
      <c r="AI35" s="173">
        <f>'ADJ DETAIL INPUT'!AK34</f>
        <v>0</v>
      </c>
      <c r="AJ35" s="173">
        <f>'ADJ DETAIL INPUT'!AL34</f>
        <v>0</v>
      </c>
      <c r="AK35" s="173">
        <f>'ADJ DETAIL INPUT'!AM34</f>
        <v>0</v>
      </c>
      <c r="AL35" s="173">
        <f>'ADJ DETAIL INPUT'!AN34</f>
        <v>0</v>
      </c>
      <c r="AM35" s="173">
        <f>'ADJ DETAIL INPUT'!AO34</f>
        <v>275</v>
      </c>
      <c r="AN35" s="173">
        <f>'ADJ DETAIL INPUT'!AP34</f>
        <v>1064</v>
      </c>
      <c r="AO35" s="173">
        <f>'ADJ DETAIL INPUT'!AQ34</f>
        <v>998</v>
      </c>
      <c r="AP35" s="173">
        <f>'ADJ DETAIL INPUT'!AR34</f>
        <v>0</v>
      </c>
      <c r="AQ35" s="173">
        <f>'ADJ DETAIL INPUT'!AV34</f>
        <v>0</v>
      </c>
      <c r="AR35" s="173">
        <f>'ADJ DETAIL INPUT'!AW34</f>
        <v>0</v>
      </c>
      <c r="AS35" s="173">
        <f>'ADJ DETAIL INPUT'!AX34</f>
        <v>0</v>
      </c>
      <c r="AT35" s="173">
        <f>'ADJ DETAIL INPUT'!AY34</f>
        <v>0</v>
      </c>
      <c r="AU35" s="173">
        <f>'ADJ DETAIL INPUT'!AZ34</f>
        <v>0</v>
      </c>
      <c r="AV35" s="173">
        <f>'ADJ DETAIL INPUT'!BA34</f>
        <v>0</v>
      </c>
      <c r="AW35" s="173">
        <f>'ADJ DETAIL INPUT'!BB34</f>
        <v>0</v>
      </c>
      <c r="AX35" s="173">
        <f>'ADJ DETAIL INPUT'!BC34</f>
        <v>0</v>
      </c>
      <c r="AY35" s="173">
        <f>'ADJ DETAIL INPUT'!BD34</f>
        <v>846</v>
      </c>
      <c r="AZ35" s="173">
        <f>'ADJ DETAIL INPUT'!BE34</f>
        <v>0</v>
      </c>
    </row>
    <row r="36" spans="1:52">
      <c r="A36" s="152">
        <v>15</v>
      </c>
      <c r="C36" s="154" t="s">
        <v>21</v>
      </c>
      <c r="D36" s="154"/>
      <c r="E36" s="172">
        <f>'ADJ DETAIL INPUT'!E35</f>
        <v>14862</v>
      </c>
      <c r="F36" s="172">
        <f>'ADJ DETAIL INPUT'!F35</f>
        <v>0</v>
      </c>
      <c r="G36" s="172">
        <f>'ADJ DETAIL INPUT'!G35</f>
        <v>0</v>
      </c>
      <c r="H36" s="172">
        <f>'ADJ DETAIL INPUT'!H35</f>
        <v>0</v>
      </c>
      <c r="I36" s="172">
        <f>'ADJ DETAIL INPUT'!I35</f>
        <v>-5540</v>
      </c>
      <c r="J36" s="172">
        <f>'ADJ DETAIL INPUT'!J35</f>
        <v>1</v>
      </c>
      <c r="K36" s="172">
        <f>'ADJ DETAIL INPUT'!K35</f>
        <v>0</v>
      </c>
      <c r="L36" s="172">
        <f>'ADJ DETAIL INPUT'!L35</f>
        <v>0</v>
      </c>
      <c r="M36" s="172">
        <f>'ADJ DETAIL INPUT'!M35</f>
        <v>0</v>
      </c>
      <c r="N36" s="172">
        <f>'ADJ DETAIL INPUT'!N35</f>
        <v>0</v>
      </c>
      <c r="O36" s="172">
        <f>'ADJ DETAIL INPUT'!O35</f>
        <v>0</v>
      </c>
      <c r="P36" s="172">
        <f>'ADJ DETAIL INPUT'!P35</f>
        <v>2</v>
      </c>
      <c r="Q36" s="172">
        <f>'ADJ DETAIL INPUT'!Q35</f>
        <v>0</v>
      </c>
      <c r="R36" s="172">
        <f>'ADJ DETAIL INPUT'!R35</f>
        <v>318</v>
      </c>
      <c r="S36" s="172">
        <f>'ADJ DETAIL INPUT'!S35</f>
        <v>-176</v>
      </c>
      <c r="T36" s="172">
        <f>'ADJ DETAIL INPUT'!T35</f>
        <v>0</v>
      </c>
      <c r="U36" s="172">
        <f>'ADJ DETAIL INPUT'!U35</f>
        <v>0</v>
      </c>
      <c r="V36" s="172">
        <f>'ADJ DETAIL INPUT'!V35</f>
        <v>0</v>
      </c>
      <c r="W36" s="172">
        <f>'ADJ DETAIL INPUT'!W35</f>
        <v>0</v>
      </c>
      <c r="X36" s="172">
        <f>'ADJ DETAIL INPUT'!X35</f>
        <v>0</v>
      </c>
      <c r="Y36" s="172">
        <f>'ADJ DETAIL INPUT'!AA35</f>
        <v>-1714</v>
      </c>
      <c r="Z36" s="172">
        <f>'ADJ DETAIL INPUT'!AB35</f>
        <v>0</v>
      </c>
      <c r="AA36" s="172">
        <f>'ADJ DETAIL INPUT'!AC35</f>
        <v>0</v>
      </c>
      <c r="AB36" s="172">
        <f>'ADJ DETAIL INPUT'!AD35</f>
        <v>0</v>
      </c>
      <c r="AC36" s="172">
        <f>'ADJ DETAIL INPUT'!AE35</f>
        <v>0</v>
      </c>
      <c r="AD36" s="172">
        <f>'ADJ DETAIL INPUT'!AF35</f>
        <v>0</v>
      </c>
      <c r="AE36" s="172">
        <f>'ADJ DETAIL INPUT'!AG35</f>
        <v>0</v>
      </c>
      <c r="AF36" s="172">
        <f>'ADJ DETAIL INPUT'!AH35</f>
        <v>0</v>
      </c>
      <c r="AG36" s="172">
        <f>'ADJ DETAIL INPUT'!AI35</f>
        <v>0</v>
      </c>
      <c r="AH36" s="172">
        <f>'ADJ DETAIL INPUT'!AJ35</f>
        <v>0</v>
      </c>
      <c r="AI36" s="172">
        <f>'ADJ DETAIL INPUT'!AK35</f>
        <v>548</v>
      </c>
      <c r="AJ36" s="172">
        <f>'ADJ DETAIL INPUT'!AL35</f>
        <v>0</v>
      </c>
      <c r="AK36" s="172">
        <f>'ADJ DETAIL INPUT'!AM35</f>
        <v>0</v>
      </c>
      <c r="AL36" s="172">
        <f>'ADJ DETAIL INPUT'!AN35</f>
        <v>0</v>
      </c>
      <c r="AM36" s="172">
        <f>'ADJ DETAIL INPUT'!AO35</f>
        <v>0</v>
      </c>
      <c r="AN36" s="172">
        <f>'ADJ DETAIL INPUT'!AP35</f>
        <v>0</v>
      </c>
      <c r="AO36" s="172">
        <f>'ADJ DETAIL INPUT'!AQ35</f>
        <v>0</v>
      </c>
      <c r="AP36" s="172">
        <f>'ADJ DETAIL INPUT'!AR35</f>
        <v>0</v>
      </c>
      <c r="AQ36" s="172">
        <f>'ADJ DETAIL INPUT'!AV35</f>
        <v>0</v>
      </c>
      <c r="AR36" s="172">
        <f>'ADJ DETAIL INPUT'!AW35</f>
        <v>0</v>
      </c>
      <c r="AS36" s="172">
        <f>'ADJ DETAIL INPUT'!AX35</f>
        <v>0</v>
      </c>
      <c r="AT36" s="172">
        <f>'ADJ DETAIL INPUT'!AY35</f>
        <v>0</v>
      </c>
      <c r="AU36" s="172">
        <f>'ADJ DETAIL INPUT'!AZ35</f>
        <v>248</v>
      </c>
      <c r="AV36" s="172">
        <f>'ADJ DETAIL INPUT'!BA35</f>
        <v>0</v>
      </c>
      <c r="AW36" s="172">
        <f>'ADJ DETAIL INPUT'!BB35</f>
        <v>0</v>
      </c>
      <c r="AX36" s="172">
        <f>'ADJ DETAIL INPUT'!BC35</f>
        <v>0</v>
      </c>
      <c r="AY36" s="172">
        <f>'ADJ DETAIL INPUT'!BD35</f>
        <v>0</v>
      </c>
      <c r="AZ36" s="172">
        <f>'ADJ DETAIL INPUT'!BE35</f>
        <v>0</v>
      </c>
    </row>
    <row r="37" spans="1:52" ht="12.95" customHeight="1">
      <c r="A37" s="152">
        <v>16</v>
      </c>
      <c r="B37" s="154" t="s">
        <v>47</v>
      </c>
      <c r="C37" s="154"/>
      <c r="E37" s="171">
        <f t="shared" ref="E37" si="16">SUM(E34:E36)</f>
        <v>41534</v>
      </c>
      <c r="F37" s="171">
        <f t="shared" ref="F37:R37" si="17">SUM(F34:F36)</f>
        <v>0</v>
      </c>
      <c r="G37" s="171">
        <f t="shared" si="17"/>
        <v>0</v>
      </c>
      <c r="H37" s="171">
        <f t="shared" si="17"/>
        <v>0</v>
      </c>
      <c r="I37" s="171">
        <f t="shared" si="17"/>
        <v>-5540</v>
      </c>
      <c r="J37" s="171">
        <f t="shared" si="17"/>
        <v>1</v>
      </c>
      <c r="K37" s="171">
        <f t="shared" si="17"/>
        <v>0</v>
      </c>
      <c r="L37" s="171">
        <f t="shared" si="17"/>
        <v>0</v>
      </c>
      <c r="M37" s="171">
        <f t="shared" si="17"/>
        <v>0</v>
      </c>
      <c r="N37" s="171">
        <f t="shared" si="17"/>
        <v>0</v>
      </c>
      <c r="O37" s="171">
        <f t="shared" si="17"/>
        <v>0</v>
      </c>
      <c r="P37" s="171">
        <f t="shared" si="17"/>
        <v>2</v>
      </c>
      <c r="Q37" s="171">
        <f t="shared" si="17"/>
        <v>-11</v>
      </c>
      <c r="R37" s="171">
        <f t="shared" si="17"/>
        <v>318</v>
      </c>
      <c r="S37" s="171">
        <f t="shared" ref="S37:T37" si="18">SUM(S34:S36)</f>
        <v>-176</v>
      </c>
      <c r="T37" s="171">
        <f t="shared" si="18"/>
        <v>-14</v>
      </c>
      <c r="U37" s="171">
        <f t="shared" ref="U37" si="19">SUM(U34:U36)</f>
        <v>0</v>
      </c>
      <c r="V37" s="171">
        <f>SUM(V34:V36)</f>
        <v>0</v>
      </c>
      <c r="W37" s="171">
        <f>SUM(W34:W36)</f>
        <v>0</v>
      </c>
      <c r="X37" s="171">
        <f>SUM(X34:X36)</f>
        <v>0</v>
      </c>
      <c r="Y37" s="171">
        <f>SUM(Y34:Y36)</f>
        <v>-1714</v>
      </c>
      <c r="Z37" s="171">
        <f t="shared" ref="Z37:AZ37" si="20">SUM(Z34:Z36)</f>
        <v>0</v>
      </c>
      <c r="AA37" s="171">
        <f t="shared" si="20"/>
        <v>0</v>
      </c>
      <c r="AB37" s="171">
        <f t="shared" si="20"/>
        <v>-700</v>
      </c>
      <c r="AC37" s="171">
        <f t="shared" si="20"/>
        <v>0</v>
      </c>
      <c r="AD37" s="171">
        <f t="shared" si="20"/>
        <v>0</v>
      </c>
      <c r="AE37" s="171">
        <f t="shared" si="20"/>
        <v>983</v>
      </c>
      <c r="AF37" s="171">
        <f t="shared" si="20"/>
        <v>0</v>
      </c>
      <c r="AG37" s="171">
        <f t="shared" si="20"/>
        <v>-54</v>
      </c>
      <c r="AH37" s="171">
        <f t="shared" si="20"/>
        <v>0</v>
      </c>
      <c r="AI37" s="171">
        <f t="shared" si="20"/>
        <v>548</v>
      </c>
      <c r="AJ37" s="171">
        <f t="shared" si="20"/>
        <v>0</v>
      </c>
      <c r="AK37" s="171">
        <f t="shared" si="20"/>
        <v>0</v>
      </c>
      <c r="AL37" s="171">
        <f t="shared" si="20"/>
        <v>915.70799999999997</v>
      </c>
      <c r="AM37" s="171">
        <f t="shared" si="20"/>
        <v>275</v>
      </c>
      <c r="AN37" s="171">
        <f t="shared" si="20"/>
        <v>1064</v>
      </c>
      <c r="AO37" s="171">
        <f t="shared" si="20"/>
        <v>998</v>
      </c>
      <c r="AP37" s="171">
        <f t="shared" si="20"/>
        <v>0</v>
      </c>
      <c r="AQ37" s="171">
        <f t="shared" ref="AQ37" si="21">SUM(AQ34:AQ36)</f>
        <v>0</v>
      </c>
      <c r="AR37" s="171">
        <f t="shared" si="20"/>
        <v>-264</v>
      </c>
      <c r="AS37" s="171">
        <f t="shared" si="20"/>
        <v>260</v>
      </c>
      <c r="AT37" s="171">
        <f t="shared" si="20"/>
        <v>63</v>
      </c>
      <c r="AU37" s="171">
        <f t="shared" si="20"/>
        <v>248</v>
      </c>
      <c r="AV37" s="171">
        <f t="shared" si="20"/>
        <v>0</v>
      </c>
      <c r="AW37" s="171">
        <f t="shared" si="20"/>
        <v>0</v>
      </c>
      <c r="AX37" s="171">
        <f t="shared" si="20"/>
        <v>406.98099999999999</v>
      </c>
      <c r="AY37" s="171">
        <f t="shared" si="20"/>
        <v>846</v>
      </c>
      <c r="AZ37" s="171">
        <f t="shared" si="20"/>
        <v>0</v>
      </c>
    </row>
    <row r="38" spans="1:52" ht="12.95" customHeight="1">
      <c r="C38" s="154"/>
      <c r="D38" s="154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2.95" customHeight="1">
      <c r="A39" s="152">
        <v>17</v>
      </c>
      <c r="B39" s="128" t="s">
        <v>48</v>
      </c>
      <c r="C39" s="154"/>
      <c r="D39" s="154"/>
      <c r="E39" s="171">
        <f>'ADJ DETAIL INPUT'!E38</f>
        <v>4562</v>
      </c>
      <c r="F39" s="171">
        <f>'ADJ DETAIL INPUT'!F38</f>
        <v>0</v>
      </c>
      <c r="G39" s="171">
        <f>'ADJ DETAIL INPUT'!G38</f>
        <v>0</v>
      </c>
      <c r="H39" s="171">
        <f>'ADJ DETAIL INPUT'!H38</f>
        <v>0</v>
      </c>
      <c r="I39" s="171">
        <f>'ADJ DETAIL INPUT'!I38</f>
        <v>0</v>
      </c>
      <c r="J39" s="171">
        <f>'ADJ DETAIL INPUT'!J38</f>
        <v>0</v>
      </c>
      <c r="K39" s="171">
        <f>'ADJ DETAIL INPUT'!K38</f>
        <v>1918</v>
      </c>
      <c r="L39" s="171">
        <f>'ADJ DETAIL INPUT'!L38</f>
        <v>0</v>
      </c>
      <c r="M39" s="171">
        <f>'ADJ DETAIL INPUT'!M38</f>
        <v>0</v>
      </c>
      <c r="N39" s="171">
        <f>'ADJ DETAIL INPUT'!N38</f>
        <v>0</v>
      </c>
      <c r="O39" s="171">
        <f>'ADJ DETAIL INPUT'!O38</f>
        <v>0</v>
      </c>
      <c r="P39" s="171">
        <f>'ADJ DETAIL INPUT'!P38</f>
        <v>0</v>
      </c>
      <c r="Q39" s="171">
        <f>'ADJ DETAIL INPUT'!Q38</f>
        <v>0</v>
      </c>
      <c r="R39" s="171">
        <f>'ADJ DETAIL INPUT'!R38</f>
        <v>28</v>
      </c>
      <c r="S39" s="171">
        <f>'ADJ DETAIL INPUT'!S38</f>
        <v>-15</v>
      </c>
      <c r="T39" s="171">
        <f>'ADJ DETAIL INPUT'!T38</f>
        <v>0</v>
      </c>
      <c r="U39" s="171">
        <f>'ADJ DETAIL INPUT'!U38</f>
        <v>0</v>
      </c>
      <c r="V39" s="171">
        <f>'ADJ DETAIL INPUT'!V38</f>
        <v>0</v>
      </c>
      <c r="W39" s="171">
        <f>'ADJ DETAIL INPUT'!W38</f>
        <v>0</v>
      </c>
      <c r="X39" s="171">
        <f>'ADJ DETAIL INPUT'!X38</f>
        <v>0</v>
      </c>
      <c r="Y39" s="171">
        <f>'ADJ DETAIL INPUT'!AA38</f>
        <v>-149</v>
      </c>
      <c r="Z39" s="171">
        <f>'ADJ DETAIL INPUT'!AB38</f>
        <v>0</v>
      </c>
      <c r="AA39" s="171">
        <f>'ADJ DETAIL INPUT'!AC38</f>
        <v>0</v>
      </c>
      <c r="AB39" s="171">
        <f>'ADJ DETAIL INPUT'!AD38</f>
        <v>0</v>
      </c>
      <c r="AC39" s="171">
        <f>'ADJ DETAIL INPUT'!AE38</f>
        <v>0</v>
      </c>
      <c r="AD39" s="171">
        <f>'ADJ DETAIL INPUT'!AF38</f>
        <v>0</v>
      </c>
      <c r="AE39" s="171">
        <f>'ADJ DETAIL INPUT'!AG38</f>
        <v>216</v>
      </c>
      <c r="AF39" s="171">
        <f>'ADJ DETAIL INPUT'!AH38</f>
        <v>0</v>
      </c>
      <c r="AG39" s="171">
        <f>'ADJ DETAIL INPUT'!AI38</f>
        <v>-25</v>
      </c>
      <c r="AH39" s="171">
        <f>'ADJ DETAIL INPUT'!AJ38</f>
        <v>-7.3949999999999996</v>
      </c>
      <c r="AI39" s="171">
        <f>'ADJ DETAIL INPUT'!AK38</f>
        <v>0</v>
      </c>
      <c r="AJ39" s="171">
        <f>'ADJ DETAIL INPUT'!AL38</f>
        <v>0</v>
      </c>
      <c r="AK39" s="171">
        <f>'ADJ DETAIL INPUT'!AM38</f>
        <v>0</v>
      </c>
      <c r="AL39" s="171">
        <f>'ADJ DETAIL INPUT'!AN38</f>
        <v>216.40199999999999</v>
      </c>
      <c r="AM39" s="171">
        <f>'ADJ DETAIL INPUT'!AO38</f>
        <v>0</v>
      </c>
      <c r="AN39" s="171">
        <f>'ADJ DETAIL INPUT'!AP38</f>
        <v>0</v>
      </c>
      <c r="AO39" s="171">
        <f>'ADJ DETAIL INPUT'!AQ38</f>
        <v>0</v>
      </c>
      <c r="AP39" s="171">
        <f>'ADJ DETAIL INPUT'!AR38</f>
        <v>0</v>
      </c>
      <c r="AQ39" s="171">
        <f>'ADJ DETAIL INPUT'!AV38</f>
        <v>0</v>
      </c>
      <c r="AR39" s="171">
        <f>'ADJ DETAIL INPUT'!AW38</f>
        <v>0</v>
      </c>
      <c r="AS39" s="171">
        <f>'ADJ DETAIL INPUT'!AX38</f>
        <v>76</v>
      </c>
      <c r="AT39" s="171">
        <f>'ADJ DETAIL INPUT'!AY38</f>
        <v>30</v>
      </c>
      <c r="AU39" s="171">
        <f>'ADJ DETAIL INPUT'!AZ38</f>
        <v>0</v>
      </c>
      <c r="AV39" s="171">
        <f>'ADJ DETAIL INPUT'!BA38</f>
        <v>0</v>
      </c>
      <c r="AW39" s="171">
        <f>'ADJ DETAIL INPUT'!BB38</f>
        <v>0</v>
      </c>
      <c r="AX39" s="171">
        <f>'ADJ DETAIL INPUT'!BC38</f>
        <v>96.179000000000002</v>
      </c>
      <c r="AY39" s="171">
        <f>'ADJ DETAIL INPUT'!BD38</f>
        <v>0</v>
      </c>
      <c r="AZ39" s="171">
        <f>'ADJ DETAIL INPUT'!BE38</f>
        <v>0</v>
      </c>
    </row>
    <row r="40" spans="1:52">
      <c r="A40" s="152">
        <v>18</v>
      </c>
      <c r="B40" s="128" t="s">
        <v>49</v>
      </c>
      <c r="C40" s="154"/>
      <c r="D40" s="154"/>
      <c r="E40" s="171">
        <f>'ADJ DETAIL INPUT'!E39</f>
        <v>9284</v>
      </c>
      <c r="F40" s="171">
        <f>'ADJ DETAIL INPUT'!F39</f>
        <v>0</v>
      </c>
      <c r="G40" s="171">
        <f>'ADJ DETAIL INPUT'!G39</f>
        <v>0</v>
      </c>
      <c r="H40" s="171">
        <f>'ADJ DETAIL INPUT'!H39</f>
        <v>0</v>
      </c>
      <c r="I40" s="171">
        <f>'ADJ DETAIL INPUT'!I39</f>
        <v>0</v>
      </c>
      <c r="J40" s="171">
        <f>'ADJ DETAIL INPUT'!J39</f>
        <v>0</v>
      </c>
      <c r="K40" s="171">
        <f>'ADJ DETAIL INPUT'!K39</f>
        <v>0</v>
      </c>
      <c r="L40" s="171">
        <f>'ADJ DETAIL INPUT'!L39</f>
        <v>0</v>
      </c>
      <c r="M40" s="171">
        <f>'ADJ DETAIL INPUT'!M39</f>
        <v>0</v>
      </c>
      <c r="N40" s="171">
        <f>'ADJ DETAIL INPUT'!N39</f>
        <v>0</v>
      </c>
      <c r="O40" s="171">
        <f>'ADJ DETAIL INPUT'!O39</f>
        <v>0</v>
      </c>
      <c r="P40" s="171">
        <f>'ADJ DETAIL INPUT'!P39</f>
        <v>0</v>
      </c>
      <c r="Q40" s="171">
        <f>'ADJ DETAIL INPUT'!Q39</f>
        <v>0</v>
      </c>
      <c r="R40" s="171">
        <f>'ADJ DETAIL INPUT'!R39</f>
        <v>0</v>
      </c>
      <c r="S40" s="171">
        <f>'ADJ DETAIL INPUT'!S39</f>
        <v>-8505</v>
      </c>
      <c r="T40" s="171">
        <f>'ADJ DETAIL INPUT'!T39</f>
        <v>0</v>
      </c>
      <c r="U40" s="171">
        <f>'ADJ DETAIL INPUT'!U39</f>
        <v>0</v>
      </c>
      <c r="V40" s="171">
        <f>'ADJ DETAIL INPUT'!V39</f>
        <v>0</v>
      </c>
      <c r="W40" s="171">
        <f>'ADJ DETAIL INPUT'!W39</f>
        <v>0</v>
      </c>
      <c r="X40" s="171">
        <f>'ADJ DETAIL INPUT'!X39</f>
        <v>0</v>
      </c>
      <c r="Y40" s="171">
        <f>'ADJ DETAIL INPUT'!AA39</f>
        <v>0</v>
      </c>
      <c r="Z40" s="171">
        <f>'ADJ DETAIL INPUT'!AB39</f>
        <v>0</v>
      </c>
      <c r="AA40" s="171">
        <f>'ADJ DETAIL INPUT'!AC39</f>
        <v>0</v>
      </c>
      <c r="AB40" s="171">
        <f>'ADJ DETAIL INPUT'!AD39</f>
        <v>0</v>
      </c>
      <c r="AC40" s="171">
        <f>'ADJ DETAIL INPUT'!AE39</f>
        <v>0</v>
      </c>
      <c r="AD40" s="171">
        <f>'ADJ DETAIL INPUT'!AF39</f>
        <v>0</v>
      </c>
      <c r="AE40" s="171">
        <f>'ADJ DETAIL INPUT'!AG39</f>
        <v>13</v>
      </c>
      <c r="AF40" s="171">
        <f>'ADJ DETAIL INPUT'!AH39</f>
        <v>0</v>
      </c>
      <c r="AG40" s="171">
        <f>'ADJ DETAIL INPUT'!AI39</f>
        <v>-2</v>
      </c>
      <c r="AH40" s="171">
        <f>'ADJ DETAIL INPUT'!AJ39</f>
        <v>0</v>
      </c>
      <c r="AI40" s="171">
        <f>'ADJ DETAIL INPUT'!AK39</f>
        <v>0</v>
      </c>
      <c r="AJ40" s="171">
        <f>'ADJ DETAIL INPUT'!AL39</f>
        <v>0</v>
      </c>
      <c r="AK40" s="171">
        <f>'ADJ DETAIL INPUT'!AM39</f>
        <v>0</v>
      </c>
      <c r="AL40" s="171">
        <f>'ADJ DETAIL INPUT'!AN39</f>
        <v>100.432</v>
      </c>
      <c r="AM40" s="171">
        <f>'ADJ DETAIL INPUT'!AO39</f>
        <v>0</v>
      </c>
      <c r="AN40" s="171">
        <f>'ADJ DETAIL INPUT'!AP39</f>
        <v>0</v>
      </c>
      <c r="AO40" s="171">
        <f>'ADJ DETAIL INPUT'!AQ39</f>
        <v>0</v>
      </c>
      <c r="AP40" s="171">
        <f>'ADJ DETAIL INPUT'!AR39</f>
        <v>0</v>
      </c>
      <c r="AQ40" s="171">
        <f>'ADJ DETAIL INPUT'!AV39</f>
        <v>0</v>
      </c>
      <c r="AR40" s="171">
        <f>'ADJ DETAIL INPUT'!AW39</f>
        <v>0</v>
      </c>
      <c r="AS40" s="171">
        <f>'ADJ DETAIL INPUT'!AX39</f>
        <v>5</v>
      </c>
      <c r="AT40" s="171">
        <f>'ADJ DETAIL INPUT'!AY39</f>
        <v>3</v>
      </c>
      <c r="AU40" s="171">
        <f>'ADJ DETAIL INPUT'!AZ39</f>
        <v>0</v>
      </c>
      <c r="AV40" s="171">
        <f>'ADJ DETAIL INPUT'!BA39</f>
        <v>0</v>
      </c>
      <c r="AW40" s="171">
        <f>'ADJ DETAIL INPUT'!BB39</f>
        <v>0</v>
      </c>
      <c r="AX40" s="171">
        <f>'ADJ DETAIL INPUT'!BC39</f>
        <v>44.636000000000003</v>
      </c>
      <c r="AY40" s="171">
        <f>'ADJ DETAIL INPUT'!BD39</f>
        <v>0</v>
      </c>
      <c r="AZ40" s="171">
        <f>'ADJ DETAIL INPUT'!BE39</f>
        <v>0</v>
      </c>
    </row>
    <row r="41" spans="1:52">
      <c r="A41" s="152">
        <v>19</v>
      </c>
      <c r="B41" s="128" t="s">
        <v>50</v>
      </c>
      <c r="C41" s="154"/>
      <c r="D41" s="154"/>
      <c r="E41" s="171">
        <f>'ADJ DETAIL INPUT'!E40</f>
        <v>0</v>
      </c>
      <c r="F41" s="171">
        <f>'ADJ DETAIL INPUT'!F40</f>
        <v>0</v>
      </c>
      <c r="G41" s="171">
        <f>'ADJ DETAIL INPUT'!G40</f>
        <v>0</v>
      </c>
      <c r="H41" s="171">
        <f>'ADJ DETAIL INPUT'!H40</f>
        <v>0</v>
      </c>
      <c r="I41" s="171">
        <f>'ADJ DETAIL INPUT'!I40</f>
        <v>0</v>
      </c>
      <c r="J41" s="171">
        <f>'ADJ DETAIL INPUT'!J40</f>
        <v>0</v>
      </c>
      <c r="K41" s="171">
        <f>'ADJ DETAIL INPUT'!K40</f>
        <v>0</v>
      </c>
      <c r="L41" s="171">
        <f>'ADJ DETAIL INPUT'!L40</f>
        <v>0</v>
      </c>
      <c r="M41" s="171">
        <f>'ADJ DETAIL INPUT'!M40</f>
        <v>0</v>
      </c>
      <c r="N41" s="171">
        <f>'ADJ DETAIL INPUT'!N40</f>
        <v>0</v>
      </c>
      <c r="O41" s="171">
        <f>'ADJ DETAIL INPUT'!O40</f>
        <v>0</v>
      </c>
      <c r="P41" s="171">
        <f>'ADJ DETAIL INPUT'!P40</f>
        <v>0</v>
      </c>
      <c r="Q41" s="171">
        <f>'ADJ DETAIL INPUT'!Q40</f>
        <v>0</v>
      </c>
      <c r="R41" s="171">
        <f>'ADJ DETAIL INPUT'!R40</f>
        <v>0</v>
      </c>
      <c r="S41" s="171">
        <f>'ADJ DETAIL INPUT'!S40</f>
        <v>0</v>
      </c>
      <c r="T41" s="171">
        <f>'ADJ DETAIL INPUT'!T40</f>
        <v>0</v>
      </c>
      <c r="U41" s="171">
        <f>'ADJ DETAIL INPUT'!U40</f>
        <v>0</v>
      </c>
      <c r="V41" s="171">
        <f>'ADJ DETAIL INPUT'!V40</f>
        <v>0</v>
      </c>
      <c r="W41" s="171">
        <f>'ADJ DETAIL INPUT'!W40</f>
        <v>0</v>
      </c>
      <c r="X41" s="171">
        <f>'ADJ DETAIL INPUT'!X40</f>
        <v>0</v>
      </c>
      <c r="Y41" s="171">
        <f>'ADJ DETAIL INPUT'!AA40</f>
        <v>0</v>
      </c>
      <c r="Z41" s="171">
        <f>'ADJ DETAIL INPUT'!AB40</f>
        <v>0</v>
      </c>
      <c r="AA41" s="171">
        <f>'ADJ DETAIL INPUT'!AC40</f>
        <v>0</v>
      </c>
      <c r="AB41" s="171">
        <f>'ADJ DETAIL INPUT'!AD40</f>
        <v>0</v>
      </c>
      <c r="AC41" s="171">
        <f>'ADJ DETAIL INPUT'!AE40</f>
        <v>0</v>
      </c>
      <c r="AD41" s="171">
        <f>'ADJ DETAIL INPUT'!AF40</f>
        <v>0</v>
      </c>
      <c r="AE41" s="171">
        <f>'ADJ DETAIL INPUT'!AG40</f>
        <v>0</v>
      </c>
      <c r="AF41" s="171">
        <f>'ADJ DETAIL INPUT'!AH40</f>
        <v>0</v>
      </c>
      <c r="AG41" s="171">
        <f>'ADJ DETAIL INPUT'!AI40</f>
        <v>0</v>
      </c>
      <c r="AH41" s="171">
        <f>'ADJ DETAIL INPUT'!AJ40</f>
        <v>0</v>
      </c>
      <c r="AI41" s="171">
        <f>'ADJ DETAIL INPUT'!AK40</f>
        <v>0</v>
      </c>
      <c r="AJ41" s="171">
        <f>'ADJ DETAIL INPUT'!AL40</f>
        <v>0</v>
      </c>
      <c r="AK41" s="171">
        <f>'ADJ DETAIL INPUT'!AM40</f>
        <v>0</v>
      </c>
      <c r="AL41" s="171">
        <f>'ADJ DETAIL INPUT'!AN40</f>
        <v>0</v>
      </c>
      <c r="AM41" s="171">
        <f>'ADJ DETAIL INPUT'!AO40</f>
        <v>0</v>
      </c>
      <c r="AN41" s="171">
        <f>'ADJ DETAIL INPUT'!AP40</f>
        <v>0</v>
      </c>
      <c r="AO41" s="171">
        <f>'ADJ DETAIL INPUT'!AQ40</f>
        <v>0</v>
      </c>
      <c r="AP41" s="171">
        <f>'ADJ DETAIL INPUT'!AR40</f>
        <v>0</v>
      </c>
      <c r="AQ41" s="171">
        <f>'ADJ DETAIL INPUT'!AV40</f>
        <v>0</v>
      </c>
      <c r="AR41" s="171">
        <f>'ADJ DETAIL INPUT'!AW40</f>
        <v>0</v>
      </c>
      <c r="AS41" s="171">
        <f>'ADJ DETAIL INPUT'!AX40</f>
        <v>0</v>
      </c>
      <c r="AT41" s="171">
        <f>'ADJ DETAIL INPUT'!AY40</f>
        <v>0</v>
      </c>
      <c r="AU41" s="171">
        <f>'ADJ DETAIL INPUT'!AZ40</f>
        <v>0</v>
      </c>
      <c r="AV41" s="171">
        <f>'ADJ DETAIL INPUT'!BA40</f>
        <v>0</v>
      </c>
      <c r="AW41" s="171">
        <f>'ADJ DETAIL INPUT'!BB40</f>
        <v>0</v>
      </c>
      <c r="AX41" s="171">
        <f>'ADJ DETAIL INPUT'!BC40</f>
        <v>0</v>
      </c>
      <c r="AY41" s="171">
        <f>'ADJ DETAIL INPUT'!BD40</f>
        <v>0</v>
      </c>
      <c r="AZ41" s="171">
        <f>'ADJ DETAIL INPUT'!BE40</f>
        <v>0</v>
      </c>
    </row>
    <row r="42" spans="1:52">
      <c r="C42" s="154"/>
      <c r="D42" s="154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>
      <c r="B43" s="128" t="s">
        <v>51</v>
      </c>
      <c r="C43" s="154"/>
      <c r="D43" s="154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>
      <c r="A44" s="152">
        <v>20</v>
      </c>
      <c r="C44" s="154" t="s">
        <v>43</v>
      </c>
      <c r="D44" s="154"/>
      <c r="E44" s="171">
        <f>'ADJ DETAIL INPUT'!E43</f>
        <v>20606</v>
      </c>
      <c r="F44" s="171">
        <f>'ADJ DETAIL INPUT'!F43</f>
        <v>0</v>
      </c>
      <c r="G44" s="171">
        <f>'ADJ DETAIL INPUT'!G43</f>
        <v>0</v>
      </c>
      <c r="H44" s="171">
        <f>'ADJ DETAIL INPUT'!H43</f>
        <v>0</v>
      </c>
      <c r="I44" s="171">
        <f>'ADJ DETAIL INPUT'!I43</f>
        <v>0</v>
      </c>
      <c r="J44" s="171">
        <f>'ADJ DETAIL INPUT'!J43</f>
        <v>0</v>
      </c>
      <c r="K44" s="171">
        <f>'ADJ DETAIL INPUT'!K43</f>
        <v>0</v>
      </c>
      <c r="L44" s="171">
        <f>'ADJ DETAIL INPUT'!L43</f>
        <v>9</v>
      </c>
      <c r="M44" s="171">
        <f>'ADJ DETAIL INPUT'!M43</f>
        <v>-45</v>
      </c>
      <c r="N44" s="171">
        <f>'ADJ DETAIL INPUT'!N43</f>
        <v>0</v>
      </c>
      <c r="O44" s="171">
        <f>'ADJ DETAIL INPUT'!O43</f>
        <v>-17</v>
      </c>
      <c r="P44" s="171">
        <f>'ADJ DETAIL INPUT'!P43</f>
        <v>0</v>
      </c>
      <c r="Q44" s="171">
        <f>'ADJ DETAIL INPUT'!Q43</f>
        <v>0</v>
      </c>
      <c r="R44" s="171">
        <f>'ADJ DETAIL INPUT'!R43</f>
        <v>17</v>
      </c>
      <c r="S44" s="171">
        <f>'ADJ DETAIL INPUT'!S43</f>
        <v>-9</v>
      </c>
      <c r="T44" s="171">
        <f>'ADJ DETAIL INPUT'!T43</f>
        <v>-467</v>
      </c>
      <c r="U44" s="171">
        <f>'ADJ DETAIL INPUT'!U43</f>
        <v>865</v>
      </c>
      <c r="V44" s="171">
        <f>'ADJ DETAIL INPUT'!V43</f>
        <v>0</v>
      </c>
      <c r="W44" s="171">
        <f>'ADJ DETAIL INPUT'!W43</f>
        <v>0</v>
      </c>
      <c r="X44" s="171">
        <f>'ADJ DETAIL INPUT'!X43</f>
        <v>0</v>
      </c>
      <c r="Y44" s="171">
        <f>'ADJ DETAIL INPUT'!AA43</f>
        <v>-89</v>
      </c>
      <c r="Z44" s="171">
        <f>'ADJ DETAIL INPUT'!AB43</f>
        <v>0</v>
      </c>
      <c r="AA44" s="171">
        <f>'ADJ DETAIL INPUT'!AC43</f>
        <v>0</v>
      </c>
      <c r="AB44" s="171">
        <f>'ADJ DETAIL INPUT'!AD43</f>
        <v>0</v>
      </c>
      <c r="AC44" s="171">
        <f>'ADJ DETAIL INPUT'!AE43</f>
        <v>0</v>
      </c>
      <c r="AD44" s="171">
        <f>'ADJ DETAIL INPUT'!AF43</f>
        <v>0</v>
      </c>
      <c r="AE44" s="171">
        <f>'ADJ DETAIL INPUT'!AG43</f>
        <v>556</v>
      </c>
      <c r="AF44" s="171">
        <f>'ADJ DETAIL INPUT'!AH43</f>
        <v>20</v>
      </c>
      <c r="AG44" s="171">
        <f>'ADJ DETAIL INPUT'!AI43</f>
        <v>-35</v>
      </c>
      <c r="AH44" s="171">
        <f>'ADJ DETAIL INPUT'!AJ43</f>
        <v>-16</v>
      </c>
      <c r="AI44" s="171">
        <f>'ADJ DETAIL INPUT'!AK43</f>
        <v>0</v>
      </c>
      <c r="AJ44" s="171">
        <f>'ADJ DETAIL INPUT'!AL43</f>
        <v>503</v>
      </c>
      <c r="AK44" s="171">
        <f>'ADJ DETAIL INPUT'!AM43</f>
        <v>371</v>
      </c>
      <c r="AL44" s="171">
        <f>'ADJ DETAIL INPUT'!AN43</f>
        <v>683.76400000000001</v>
      </c>
      <c r="AM44" s="171">
        <f>'ADJ DETAIL INPUT'!AO43</f>
        <v>0</v>
      </c>
      <c r="AN44" s="171">
        <f>'ADJ DETAIL INPUT'!AP43</f>
        <v>0</v>
      </c>
      <c r="AO44" s="171">
        <f>'ADJ DETAIL INPUT'!AQ43</f>
        <v>0</v>
      </c>
      <c r="AP44" s="171">
        <f>'ADJ DETAIL INPUT'!AR43</f>
        <v>-95</v>
      </c>
      <c r="AQ44" s="171">
        <f>'ADJ DETAIL INPUT'!AV43</f>
        <v>0</v>
      </c>
      <c r="AR44" s="171">
        <f>'ADJ DETAIL INPUT'!AW43</f>
        <v>0</v>
      </c>
      <c r="AS44" s="171">
        <f>'ADJ DETAIL INPUT'!AX43</f>
        <v>193</v>
      </c>
      <c r="AT44" s="171">
        <f>'ADJ DETAIL INPUT'!AY43</f>
        <v>41</v>
      </c>
      <c r="AU44" s="171">
        <f>'ADJ DETAIL INPUT'!AZ43</f>
        <v>0</v>
      </c>
      <c r="AV44" s="171">
        <f>'ADJ DETAIL INPUT'!BA43</f>
        <v>101</v>
      </c>
      <c r="AW44" s="171">
        <f>'ADJ DETAIL INPUT'!BB43</f>
        <v>0</v>
      </c>
      <c r="AX44" s="171">
        <f>'ADJ DETAIL INPUT'!BC43</f>
        <v>303.89499999999998</v>
      </c>
      <c r="AY44" s="171">
        <f>'ADJ DETAIL INPUT'!BD43</f>
        <v>0</v>
      </c>
      <c r="AZ44" s="171">
        <f>'ADJ DETAIL INPUT'!BE43</f>
        <v>-71</v>
      </c>
    </row>
    <row r="45" spans="1:52">
      <c r="A45" s="152">
        <v>21</v>
      </c>
      <c r="C45" s="154" t="s">
        <v>192</v>
      </c>
      <c r="D45" s="154"/>
      <c r="E45" s="171">
        <f>'ADJ DETAIL INPUT'!E44</f>
        <v>12268</v>
      </c>
      <c r="F45" s="171">
        <f>'ADJ DETAIL INPUT'!F44</f>
        <v>0</v>
      </c>
      <c r="G45" s="171">
        <f>'ADJ DETAIL INPUT'!G44</f>
        <v>0</v>
      </c>
      <c r="H45" s="171">
        <f>'ADJ DETAIL INPUT'!H44</f>
        <v>0</v>
      </c>
      <c r="I45" s="171">
        <f>'ADJ DETAIL INPUT'!I44</f>
        <v>0</v>
      </c>
      <c r="J45" s="171">
        <f>'ADJ DETAIL INPUT'!J44</f>
        <v>0</v>
      </c>
      <c r="K45" s="171">
        <f>'ADJ DETAIL INPUT'!K44</f>
        <v>0</v>
      </c>
      <c r="L45" s="171">
        <f>'ADJ DETAIL INPUT'!L44</f>
        <v>0</v>
      </c>
      <c r="M45" s="171">
        <f>'ADJ DETAIL INPUT'!M44</f>
        <v>0</v>
      </c>
      <c r="N45" s="171">
        <f>'ADJ DETAIL INPUT'!N44</f>
        <v>0</v>
      </c>
      <c r="O45" s="171">
        <f>'ADJ DETAIL INPUT'!O44</f>
        <v>0</v>
      </c>
      <c r="P45" s="171">
        <f>'ADJ DETAIL INPUT'!P44</f>
        <v>0</v>
      </c>
      <c r="Q45" s="171">
        <f>'ADJ DETAIL INPUT'!Q44</f>
        <v>0</v>
      </c>
      <c r="R45" s="171">
        <f>'ADJ DETAIL INPUT'!R44</f>
        <v>0</v>
      </c>
      <c r="S45" s="171">
        <f>'ADJ DETAIL INPUT'!S44</f>
        <v>0</v>
      </c>
      <c r="T45" s="171">
        <f>'ADJ DETAIL INPUT'!T44</f>
        <v>0</v>
      </c>
      <c r="U45" s="171">
        <f>'ADJ DETAIL INPUT'!U44</f>
        <v>0</v>
      </c>
      <c r="V45" s="171">
        <f>'ADJ DETAIL INPUT'!V44</f>
        <v>0</v>
      </c>
      <c r="W45" s="171">
        <f>'ADJ DETAIL INPUT'!W44</f>
        <v>0</v>
      </c>
      <c r="X45" s="171">
        <f>'ADJ DETAIL INPUT'!X44</f>
        <v>0</v>
      </c>
      <c r="Y45" s="171">
        <f>'ADJ DETAIL INPUT'!AA44</f>
        <v>0</v>
      </c>
      <c r="Z45" s="171">
        <f>'ADJ DETAIL INPUT'!AB44</f>
        <v>0</v>
      </c>
      <c r="AA45" s="171">
        <f>'ADJ DETAIL INPUT'!AC44</f>
        <v>0</v>
      </c>
      <c r="AB45" s="171">
        <f>'ADJ DETAIL INPUT'!AD44</f>
        <v>0</v>
      </c>
      <c r="AC45" s="171">
        <f>'ADJ DETAIL INPUT'!AE44</f>
        <v>0</v>
      </c>
      <c r="AD45" s="171">
        <f>'ADJ DETAIL INPUT'!AF44</f>
        <v>0</v>
      </c>
      <c r="AE45" s="171">
        <f>'ADJ DETAIL INPUT'!AG44</f>
        <v>0</v>
      </c>
      <c r="AF45" s="171">
        <f>'ADJ DETAIL INPUT'!AH44</f>
        <v>0</v>
      </c>
      <c r="AG45" s="171">
        <f>'ADJ DETAIL INPUT'!AI44</f>
        <v>0</v>
      </c>
      <c r="AH45" s="171">
        <f>'ADJ DETAIL INPUT'!AJ44</f>
        <v>0</v>
      </c>
      <c r="AI45" s="171">
        <f>'ADJ DETAIL INPUT'!AK44</f>
        <v>0</v>
      </c>
      <c r="AJ45" s="171">
        <f>'ADJ DETAIL INPUT'!AL44</f>
        <v>0</v>
      </c>
      <c r="AK45" s="171">
        <f>'ADJ DETAIL INPUT'!AM44</f>
        <v>0</v>
      </c>
      <c r="AL45" s="171">
        <f>'ADJ DETAIL INPUT'!AN44</f>
        <v>0</v>
      </c>
      <c r="AM45" s="171">
        <f>'ADJ DETAIL INPUT'!AO44</f>
        <v>206</v>
      </c>
      <c r="AN45" s="171">
        <f>'ADJ DETAIL INPUT'!AP44</f>
        <v>-470</v>
      </c>
      <c r="AO45" s="171">
        <f>'ADJ DETAIL INPUT'!AQ44</f>
        <v>-328</v>
      </c>
      <c r="AP45" s="171">
        <f>'ADJ DETAIL INPUT'!AR44</f>
        <v>0</v>
      </c>
      <c r="AQ45" s="171">
        <f>'ADJ DETAIL INPUT'!AV44</f>
        <v>0</v>
      </c>
      <c r="AR45" s="171">
        <f>'ADJ DETAIL INPUT'!AW44</f>
        <v>0</v>
      </c>
      <c r="AS45" s="171">
        <f>'ADJ DETAIL INPUT'!AX44</f>
        <v>0</v>
      </c>
      <c r="AT45" s="171">
        <f>'ADJ DETAIL INPUT'!AY44</f>
        <v>0</v>
      </c>
      <c r="AU45" s="171">
        <f>'ADJ DETAIL INPUT'!AZ44</f>
        <v>0</v>
      </c>
      <c r="AV45" s="171">
        <f>'ADJ DETAIL INPUT'!BA44</f>
        <v>0</v>
      </c>
      <c r="AW45" s="171">
        <f>'ADJ DETAIL INPUT'!BB44</f>
        <v>0</v>
      </c>
      <c r="AX45" s="171">
        <f>'ADJ DETAIL INPUT'!BC44</f>
        <v>0</v>
      </c>
      <c r="AY45" s="171">
        <f>'ADJ DETAIL INPUT'!BD44</f>
        <v>-909</v>
      </c>
      <c r="AZ45" s="171">
        <f>'ADJ DETAIL INPUT'!BE44</f>
        <v>0</v>
      </c>
    </row>
    <row r="46" spans="1:52">
      <c r="A46" s="152">
        <v>22</v>
      </c>
      <c r="C46" s="7" t="s">
        <v>379</v>
      </c>
      <c r="D46" s="154"/>
      <c r="E46" s="171">
        <f>'ADJ DETAIL INPUT'!E45</f>
        <v>-4848</v>
      </c>
      <c r="F46" s="171">
        <f>'ADJ DETAIL INPUT'!F45</f>
        <v>0</v>
      </c>
      <c r="G46" s="171">
        <f>'ADJ DETAIL INPUT'!G45</f>
        <v>0</v>
      </c>
      <c r="H46" s="171">
        <f>'ADJ DETAIL INPUT'!H45</f>
        <v>0</v>
      </c>
      <c r="I46" s="171">
        <f>'ADJ DETAIL INPUT'!I45</f>
        <v>0</v>
      </c>
      <c r="J46" s="171">
        <f>'ADJ DETAIL INPUT'!J45</f>
        <v>0</v>
      </c>
      <c r="K46" s="171">
        <f>'ADJ DETAIL INPUT'!K45</f>
        <v>0</v>
      </c>
      <c r="L46" s="171">
        <f>'ADJ DETAIL INPUT'!L45</f>
        <v>0</v>
      </c>
      <c r="M46" s="171">
        <f>'ADJ DETAIL INPUT'!M45</f>
        <v>0</v>
      </c>
      <c r="N46" s="171">
        <f>'ADJ DETAIL INPUT'!N45</f>
        <v>0</v>
      </c>
      <c r="O46" s="171">
        <f>'ADJ DETAIL INPUT'!O45</f>
        <v>0</v>
      </c>
      <c r="P46" s="171">
        <f>'ADJ DETAIL INPUT'!P45</f>
        <v>0</v>
      </c>
      <c r="Q46" s="171">
        <f>'ADJ DETAIL INPUT'!Q45</f>
        <v>0</v>
      </c>
      <c r="R46" s="171">
        <f>'ADJ DETAIL INPUT'!R45</f>
        <v>0</v>
      </c>
      <c r="S46" s="171">
        <f>'ADJ DETAIL INPUT'!S45</f>
        <v>2753</v>
      </c>
      <c r="T46" s="171">
        <f>'ADJ DETAIL INPUT'!T45</f>
        <v>0</v>
      </c>
      <c r="U46" s="171">
        <f>'ADJ DETAIL INPUT'!U45</f>
        <v>0</v>
      </c>
      <c r="V46" s="171">
        <f>'ADJ DETAIL INPUT'!V45</f>
        <v>0</v>
      </c>
      <c r="W46" s="171">
        <f>'ADJ DETAIL INPUT'!W45</f>
        <v>0</v>
      </c>
      <c r="X46" s="171">
        <f>'ADJ DETAIL INPUT'!X45</f>
        <v>0</v>
      </c>
      <c r="Y46" s="171">
        <f>'ADJ DETAIL INPUT'!AA45</f>
        <v>0</v>
      </c>
      <c r="Z46" s="171">
        <f>'ADJ DETAIL INPUT'!AB45</f>
        <v>-497</v>
      </c>
      <c r="AA46" s="171">
        <f>'ADJ DETAIL INPUT'!AC45</f>
        <v>0</v>
      </c>
      <c r="AB46" s="171">
        <f>'ADJ DETAIL INPUT'!AD45</f>
        <v>4117</v>
      </c>
      <c r="AC46" s="171">
        <f>'ADJ DETAIL INPUT'!AE45</f>
        <v>-166</v>
      </c>
      <c r="AD46" s="171">
        <f>'ADJ DETAIL INPUT'!AF45</f>
        <v>-390</v>
      </c>
      <c r="AE46" s="171">
        <f>'ADJ DETAIL INPUT'!AG45</f>
        <v>0</v>
      </c>
      <c r="AF46" s="171">
        <f>'ADJ DETAIL INPUT'!AH45</f>
        <v>0</v>
      </c>
      <c r="AG46" s="171">
        <f>'ADJ DETAIL INPUT'!AI45</f>
        <v>0</v>
      </c>
      <c r="AH46" s="171">
        <f>'ADJ DETAIL INPUT'!AJ45</f>
        <v>0</v>
      </c>
      <c r="AI46" s="171">
        <f>'ADJ DETAIL INPUT'!AK45</f>
        <v>0</v>
      </c>
      <c r="AJ46" s="171">
        <f>'ADJ DETAIL INPUT'!AL45</f>
        <v>0</v>
      </c>
      <c r="AK46" s="171">
        <f>'ADJ DETAIL INPUT'!AM45</f>
        <v>0</v>
      </c>
      <c r="AL46" s="171">
        <f>'ADJ DETAIL INPUT'!AN45</f>
        <v>0</v>
      </c>
      <c r="AM46" s="171">
        <f>'ADJ DETAIL INPUT'!AO45</f>
        <v>0</v>
      </c>
      <c r="AN46" s="171">
        <f>'ADJ DETAIL INPUT'!AP45</f>
        <v>0</v>
      </c>
      <c r="AO46" s="171">
        <f>'ADJ DETAIL INPUT'!AQ45</f>
        <v>0</v>
      </c>
      <c r="AP46" s="171">
        <f>'ADJ DETAIL INPUT'!AR45</f>
        <v>0</v>
      </c>
      <c r="AQ46" s="171">
        <f>'ADJ DETAIL INPUT'!AV45</f>
        <v>0</v>
      </c>
      <c r="AR46" s="171">
        <f>'ADJ DETAIL INPUT'!AW45</f>
        <v>0</v>
      </c>
      <c r="AS46" s="171">
        <f>'ADJ DETAIL INPUT'!AX45</f>
        <v>0</v>
      </c>
      <c r="AT46" s="171">
        <f>'ADJ DETAIL INPUT'!AY45</f>
        <v>0</v>
      </c>
      <c r="AU46" s="171">
        <f>'ADJ DETAIL INPUT'!AZ45</f>
        <v>0</v>
      </c>
      <c r="AV46" s="171">
        <f>'ADJ DETAIL INPUT'!BA45</f>
        <v>0</v>
      </c>
      <c r="AW46" s="171">
        <f>'ADJ DETAIL INPUT'!BB45</f>
        <v>-195</v>
      </c>
      <c r="AX46" s="171">
        <f>'ADJ DETAIL INPUT'!BC45</f>
        <v>0</v>
      </c>
      <c r="AY46" s="171">
        <f>'ADJ DETAIL INPUT'!BD45</f>
        <v>0</v>
      </c>
      <c r="AZ46" s="171">
        <f>'ADJ DETAIL INPUT'!BE45</f>
        <v>0</v>
      </c>
    </row>
    <row r="47" spans="1:52">
      <c r="A47" s="152">
        <v>23</v>
      </c>
      <c r="C47" s="154" t="s">
        <v>21</v>
      </c>
      <c r="D47" s="154"/>
      <c r="E47" s="172">
        <f>'ADJ DETAIL INPUT'!E46</f>
        <v>929</v>
      </c>
      <c r="F47" s="172">
        <f>'ADJ DETAIL INPUT'!F46</f>
        <v>0</v>
      </c>
      <c r="G47" s="172">
        <f>'ADJ DETAIL INPUT'!G46</f>
        <v>0</v>
      </c>
      <c r="H47" s="172">
        <f>'ADJ DETAIL INPUT'!H46</f>
        <v>0</v>
      </c>
      <c r="I47" s="172">
        <f>'ADJ DETAIL INPUT'!I46</f>
        <v>0</v>
      </c>
      <c r="J47" s="172">
        <f>'ADJ DETAIL INPUT'!J46</f>
        <v>0</v>
      </c>
      <c r="K47" s="172">
        <f>'ADJ DETAIL INPUT'!K46</f>
        <v>0</v>
      </c>
      <c r="L47" s="172">
        <f>'ADJ DETAIL INPUT'!L46</f>
        <v>0</v>
      </c>
      <c r="M47" s="172">
        <f>'ADJ DETAIL INPUT'!M46</f>
        <v>0</v>
      </c>
      <c r="N47" s="172">
        <f>'ADJ DETAIL INPUT'!N46</f>
        <v>0</v>
      </c>
      <c r="O47" s="172">
        <f>'ADJ DETAIL INPUT'!O46</f>
        <v>0</v>
      </c>
      <c r="P47" s="172">
        <f>'ADJ DETAIL INPUT'!P46</f>
        <v>0</v>
      </c>
      <c r="Q47" s="172">
        <f>'ADJ DETAIL INPUT'!Q46</f>
        <v>0</v>
      </c>
      <c r="R47" s="172">
        <f>'ADJ DETAIL INPUT'!R46</f>
        <v>0</v>
      </c>
      <c r="S47" s="172">
        <f>'ADJ DETAIL INPUT'!S46</f>
        <v>0</v>
      </c>
      <c r="T47" s="172">
        <f>'ADJ DETAIL INPUT'!T46</f>
        <v>0</v>
      </c>
      <c r="U47" s="172">
        <f>'ADJ DETAIL INPUT'!U46</f>
        <v>0</v>
      </c>
      <c r="V47" s="172">
        <f>'ADJ DETAIL INPUT'!V46</f>
        <v>0</v>
      </c>
      <c r="W47" s="172">
        <f>'ADJ DETAIL INPUT'!W46</f>
        <v>0</v>
      </c>
      <c r="X47" s="172">
        <f>'ADJ DETAIL INPUT'!X46</f>
        <v>0</v>
      </c>
      <c r="Y47" s="172">
        <f>'ADJ DETAIL INPUT'!AA46</f>
        <v>0</v>
      </c>
      <c r="Z47" s="172">
        <f>'ADJ DETAIL INPUT'!AB46</f>
        <v>0</v>
      </c>
      <c r="AA47" s="172">
        <f>'ADJ DETAIL INPUT'!AC46</f>
        <v>0</v>
      </c>
      <c r="AB47" s="172">
        <f>'ADJ DETAIL INPUT'!AD46</f>
        <v>0</v>
      </c>
      <c r="AC47" s="172">
        <f>'ADJ DETAIL INPUT'!AE46</f>
        <v>0</v>
      </c>
      <c r="AD47" s="172">
        <f>'ADJ DETAIL INPUT'!AF46</f>
        <v>0</v>
      </c>
      <c r="AE47" s="172">
        <f>'ADJ DETAIL INPUT'!AG46</f>
        <v>0</v>
      </c>
      <c r="AF47" s="172">
        <f>'ADJ DETAIL INPUT'!AH46</f>
        <v>0</v>
      </c>
      <c r="AG47" s="172">
        <f>'ADJ DETAIL INPUT'!AI46</f>
        <v>0</v>
      </c>
      <c r="AH47" s="172">
        <f>'ADJ DETAIL INPUT'!AJ46</f>
        <v>0</v>
      </c>
      <c r="AI47" s="172">
        <f>'ADJ DETAIL INPUT'!AK46</f>
        <v>0</v>
      </c>
      <c r="AJ47" s="172">
        <f>'ADJ DETAIL INPUT'!AL46</f>
        <v>0</v>
      </c>
      <c r="AK47" s="172">
        <f>'ADJ DETAIL INPUT'!AM46</f>
        <v>0</v>
      </c>
      <c r="AL47" s="172">
        <f>'ADJ DETAIL INPUT'!AN46</f>
        <v>0</v>
      </c>
      <c r="AM47" s="172">
        <f>'ADJ DETAIL INPUT'!AO46</f>
        <v>0</v>
      </c>
      <c r="AN47" s="172">
        <f>'ADJ DETAIL INPUT'!AP46</f>
        <v>0</v>
      </c>
      <c r="AO47" s="172">
        <f>'ADJ DETAIL INPUT'!AQ46</f>
        <v>0</v>
      </c>
      <c r="AP47" s="172">
        <f>'ADJ DETAIL INPUT'!AR46</f>
        <v>0</v>
      </c>
      <c r="AQ47" s="172">
        <f>'ADJ DETAIL INPUT'!AV46</f>
        <v>0</v>
      </c>
      <c r="AR47" s="172">
        <f>'ADJ DETAIL INPUT'!AW46</f>
        <v>0</v>
      </c>
      <c r="AS47" s="172">
        <f>'ADJ DETAIL INPUT'!AX46</f>
        <v>0</v>
      </c>
      <c r="AT47" s="172">
        <f>'ADJ DETAIL INPUT'!AY46</f>
        <v>0</v>
      </c>
      <c r="AU47" s="172">
        <f>'ADJ DETAIL INPUT'!AZ46</f>
        <v>0</v>
      </c>
      <c r="AV47" s="172">
        <f>'ADJ DETAIL INPUT'!BA46</f>
        <v>0</v>
      </c>
      <c r="AW47" s="172">
        <f>'ADJ DETAIL INPUT'!BB46</f>
        <v>0</v>
      </c>
      <c r="AX47" s="172">
        <f>'ADJ DETAIL INPUT'!BC46</f>
        <v>0</v>
      </c>
      <c r="AY47" s="172">
        <f>'ADJ DETAIL INPUT'!BD46</f>
        <v>0</v>
      </c>
      <c r="AZ47" s="172">
        <f>'ADJ DETAIL INPUT'!BE46</f>
        <v>0</v>
      </c>
    </row>
    <row r="48" spans="1:52">
      <c r="A48" s="152">
        <v>24</v>
      </c>
      <c r="B48" s="154" t="s">
        <v>52</v>
      </c>
      <c r="C48" s="154"/>
      <c r="E48" s="172">
        <f>SUM(E44:E47)</f>
        <v>28955</v>
      </c>
      <c r="F48" s="172">
        <f t="shared" ref="F48:R48" si="22">SUM(F44:F47)</f>
        <v>0</v>
      </c>
      <c r="G48" s="172">
        <f t="shared" si="22"/>
        <v>0</v>
      </c>
      <c r="H48" s="172">
        <f t="shared" si="22"/>
        <v>0</v>
      </c>
      <c r="I48" s="172">
        <f t="shared" si="22"/>
        <v>0</v>
      </c>
      <c r="J48" s="172">
        <f t="shared" si="22"/>
        <v>0</v>
      </c>
      <c r="K48" s="172">
        <f t="shared" si="22"/>
        <v>0</v>
      </c>
      <c r="L48" s="172">
        <f t="shared" si="22"/>
        <v>9</v>
      </c>
      <c r="M48" s="172">
        <f t="shared" si="22"/>
        <v>-45</v>
      </c>
      <c r="N48" s="172">
        <f t="shared" si="22"/>
        <v>0</v>
      </c>
      <c r="O48" s="172">
        <f t="shared" si="22"/>
        <v>-17</v>
      </c>
      <c r="P48" s="172">
        <f t="shared" si="22"/>
        <v>0</v>
      </c>
      <c r="Q48" s="172">
        <f t="shared" si="22"/>
        <v>0</v>
      </c>
      <c r="R48" s="172">
        <f t="shared" si="22"/>
        <v>17</v>
      </c>
      <c r="S48" s="172">
        <f t="shared" ref="S48:T48" si="23">SUM(S44:S47)</f>
        <v>2744</v>
      </c>
      <c r="T48" s="172">
        <f t="shared" si="23"/>
        <v>-467</v>
      </c>
      <c r="U48" s="172">
        <f t="shared" ref="U48" si="24">SUM(U44:U47)</f>
        <v>865</v>
      </c>
      <c r="V48" s="172">
        <f>SUM(V44:V47)</f>
        <v>0</v>
      </c>
      <c r="W48" s="172">
        <f>SUM(W44:W47)</f>
        <v>0</v>
      </c>
      <c r="X48" s="172">
        <f>SUM(X44:X47)</f>
        <v>0</v>
      </c>
      <c r="Y48" s="172">
        <f>SUM(Y44:Y47)</f>
        <v>-89</v>
      </c>
      <c r="Z48" s="172">
        <f t="shared" ref="Z48:AZ48" si="25">SUM(Z44:Z47)</f>
        <v>-497</v>
      </c>
      <c r="AA48" s="172">
        <f t="shared" si="25"/>
        <v>0</v>
      </c>
      <c r="AB48" s="172">
        <f t="shared" si="25"/>
        <v>4117</v>
      </c>
      <c r="AC48" s="172">
        <f t="shared" si="25"/>
        <v>-166</v>
      </c>
      <c r="AD48" s="172">
        <f t="shared" si="25"/>
        <v>-390</v>
      </c>
      <c r="AE48" s="172">
        <f t="shared" si="25"/>
        <v>556</v>
      </c>
      <c r="AF48" s="172">
        <f t="shared" si="25"/>
        <v>20</v>
      </c>
      <c r="AG48" s="172">
        <f t="shared" si="25"/>
        <v>-35</v>
      </c>
      <c r="AH48" s="172">
        <f t="shared" si="25"/>
        <v>-16</v>
      </c>
      <c r="AI48" s="172">
        <f t="shared" si="25"/>
        <v>0</v>
      </c>
      <c r="AJ48" s="172">
        <f t="shared" si="25"/>
        <v>503</v>
      </c>
      <c r="AK48" s="172">
        <f t="shared" si="25"/>
        <v>371</v>
      </c>
      <c r="AL48" s="172">
        <f t="shared" si="25"/>
        <v>683.76400000000001</v>
      </c>
      <c r="AM48" s="172">
        <f t="shared" si="25"/>
        <v>206</v>
      </c>
      <c r="AN48" s="172">
        <f t="shared" si="25"/>
        <v>-470</v>
      </c>
      <c r="AO48" s="172">
        <f t="shared" si="25"/>
        <v>-328</v>
      </c>
      <c r="AP48" s="172">
        <f t="shared" si="25"/>
        <v>-95</v>
      </c>
      <c r="AQ48" s="172">
        <f t="shared" ref="AQ48" si="26">SUM(AQ44:AQ47)</f>
        <v>0</v>
      </c>
      <c r="AR48" s="172">
        <f t="shared" si="25"/>
        <v>0</v>
      </c>
      <c r="AS48" s="172">
        <f t="shared" si="25"/>
        <v>193</v>
      </c>
      <c r="AT48" s="172">
        <f t="shared" si="25"/>
        <v>41</v>
      </c>
      <c r="AU48" s="172">
        <f t="shared" si="25"/>
        <v>0</v>
      </c>
      <c r="AV48" s="172">
        <f t="shared" si="25"/>
        <v>101</v>
      </c>
      <c r="AW48" s="172">
        <f t="shared" si="25"/>
        <v>-195</v>
      </c>
      <c r="AX48" s="172">
        <f t="shared" si="25"/>
        <v>303.89499999999998</v>
      </c>
      <c r="AY48" s="172">
        <f t="shared" si="25"/>
        <v>-909</v>
      </c>
      <c r="AZ48" s="172">
        <f t="shared" si="25"/>
        <v>-71</v>
      </c>
    </row>
    <row r="49" spans="1:52" ht="19.5" customHeight="1">
      <c r="A49" s="152">
        <v>25</v>
      </c>
      <c r="B49" s="128" t="s">
        <v>53</v>
      </c>
      <c r="C49" s="154"/>
      <c r="D49" s="154"/>
      <c r="E49" s="172">
        <f t="shared" ref="E49" si="27">E21+E25+E31+E37+E39+E40+E41+E48</f>
        <v>177983</v>
      </c>
      <c r="F49" s="172">
        <f t="shared" ref="F49:R49" si="28">F21+F25+F31+F37+F39+F40+F41+F48</f>
        <v>0</v>
      </c>
      <c r="G49" s="172">
        <f t="shared" si="28"/>
        <v>0</v>
      </c>
      <c r="H49" s="172">
        <f t="shared" si="28"/>
        <v>0</v>
      </c>
      <c r="I49" s="172">
        <f t="shared" si="28"/>
        <v>-5540</v>
      </c>
      <c r="J49" s="172">
        <f t="shared" si="28"/>
        <v>1</v>
      </c>
      <c r="K49" s="172">
        <f t="shared" si="28"/>
        <v>1918</v>
      </c>
      <c r="L49" s="172">
        <f t="shared" si="28"/>
        <v>9</v>
      </c>
      <c r="M49" s="172">
        <f t="shared" si="28"/>
        <v>-45</v>
      </c>
      <c r="N49" s="172">
        <f t="shared" si="28"/>
        <v>0</v>
      </c>
      <c r="O49" s="172">
        <f t="shared" si="28"/>
        <v>-17</v>
      </c>
      <c r="P49" s="172">
        <f t="shared" si="28"/>
        <v>2</v>
      </c>
      <c r="Q49" s="172">
        <f t="shared" si="28"/>
        <v>-11</v>
      </c>
      <c r="R49" s="172">
        <f t="shared" si="28"/>
        <v>3467</v>
      </c>
      <c r="S49" s="172">
        <f t="shared" ref="S49:T49" si="29">S21+S25+S31+S37+S39+S40+S41+S48</f>
        <v>-48840</v>
      </c>
      <c r="T49" s="172">
        <f t="shared" si="29"/>
        <v>-481</v>
      </c>
      <c r="U49" s="172">
        <f t="shared" ref="U49" si="30">U21+U25+U31+U37+U39+U40+U41+U48</f>
        <v>865</v>
      </c>
      <c r="V49" s="172">
        <f>V21+V25+V31+V37+V39+V40+V41+V48</f>
        <v>0</v>
      </c>
      <c r="W49" s="172">
        <f>W21+W25+W31+W37+W39+W40+W41+W48</f>
        <v>0</v>
      </c>
      <c r="X49" s="172">
        <f>X21+X25+X31+X37+X39+X40+X41+X48</f>
        <v>0</v>
      </c>
      <c r="Y49" s="172">
        <f>Y21+Y25+Y31+Y37+Y39+Y40+Y41+Y48</f>
        <v>-52441</v>
      </c>
      <c r="Z49" s="172">
        <f t="shared" ref="Z49:AZ49" si="31">Z21+Z25+Z31+Z37+Z39+Z40+Z41+Z48</f>
        <v>-497</v>
      </c>
      <c r="AA49" s="172">
        <f t="shared" si="31"/>
        <v>0</v>
      </c>
      <c r="AB49" s="172">
        <f t="shared" si="31"/>
        <v>3417</v>
      </c>
      <c r="AC49" s="172">
        <f t="shared" si="31"/>
        <v>-166</v>
      </c>
      <c r="AD49" s="172">
        <f t="shared" si="31"/>
        <v>-390</v>
      </c>
      <c r="AE49" s="172">
        <f t="shared" si="31"/>
        <v>1812.3</v>
      </c>
      <c r="AF49" s="172">
        <f t="shared" si="31"/>
        <v>20</v>
      </c>
      <c r="AG49" s="172">
        <f t="shared" si="31"/>
        <v>-120</v>
      </c>
      <c r="AH49" s="172">
        <f t="shared" si="31"/>
        <v>-23.395</v>
      </c>
      <c r="AI49" s="172">
        <f t="shared" si="31"/>
        <v>579</v>
      </c>
      <c r="AJ49" s="172">
        <f t="shared" si="31"/>
        <v>503</v>
      </c>
      <c r="AK49" s="172">
        <f t="shared" si="31"/>
        <v>371</v>
      </c>
      <c r="AL49" s="172">
        <f t="shared" si="31"/>
        <v>2249.4780000000001</v>
      </c>
      <c r="AM49" s="172">
        <f t="shared" si="31"/>
        <v>488</v>
      </c>
      <c r="AN49" s="172">
        <f t="shared" si="31"/>
        <v>616</v>
      </c>
      <c r="AO49" s="172">
        <f t="shared" si="31"/>
        <v>691</v>
      </c>
      <c r="AP49" s="172">
        <f t="shared" si="31"/>
        <v>-95</v>
      </c>
      <c r="AQ49" s="172">
        <f t="shared" ref="AQ49" si="32">AQ21+AQ25+AQ31+AQ37+AQ39+AQ40+AQ41+AQ48</f>
        <v>0</v>
      </c>
      <c r="AR49" s="172">
        <f t="shared" si="31"/>
        <v>-264</v>
      </c>
      <c r="AS49" s="172">
        <f t="shared" si="31"/>
        <v>552.1</v>
      </c>
      <c r="AT49" s="172">
        <f t="shared" si="31"/>
        <v>141</v>
      </c>
      <c r="AU49" s="172">
        <f t="shared" si="31"/>
        <v>262</v>
      </c>
      <c r="AV49" s="172">
        <f t="shared" si="31"/>
        <v>101</v>
      </c>
      <c r="AW49" s="172">
        <f t="shared" si="31"/>
        <v>-195</v>
      </c>
      <c r="AX49" s="172">
        <f t="shared" si="31"/>
        <v>999.76699999999994</v>
      </c>
      <c r="AY49" s="172">
        <f t="shared" si="31"/>
        <v>-41</v>
      </c>
      <c r="AZ49" s="172">
        <f t="shared" si="31"/>
        <v>-71</v>
      </c>
    </row>
    <row r="50" spans="1:52">
      <c r="C50" s="154"/>
      <c r="D50" s="154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2.95" customHeight="1">
      <c r="A51" s="152">
        <v>26</v>
      </c>
      <c r="B51" s="128" t="s">
        <v>54</v>
      </c>
      <c r="C51" s="154"/>
      <c r="D51" s="154"/>
      <c r="E51" s="171">
        <f>E18-E49</f>
        <v>32011</v>
      </c>
      <c r="F51" s="171">
        <f t="shared" ref="F51:R51" si="33">F18-F49</f>
        <v>0</v>
      </c>
      <c r="G51" s="171">
        <f t="shared" si="33"/>
        <v>0</v>
      </c>
      <c r="H51" s="171">
        <f t="shared" si="33"/>
        <v>0</v>
      </c>
      <c r="I51" s="171">
        <f t="shared" si="33"/>
        <v>1</v>
      </c>
      <c r="J51" s="171">
        <f t="shared" si="33"/>
        <v>-1</v>
      </c>
      <c r="K51" s="171">
        <f t="shared" si="33"/>
        <v>-1918</v>
      </c>
      <c r="L51" s="171">
        <f t="shared" si="33"/>
        <v>-9</v>
      </c>
      <c r="M51" s="171">
        <f t="shared" si="33"/>
        <v>45</v>
      </c>
      <c r="N51" s="171">
        <f t="shared" si="33"/>
        <v>0</v>
      </c>
      <c r="O51" s="171">
        <f t="shared" si="33"/>
        <v>17</v>
      </c>
      <c r="P51" s="171">
        <f t="shared" si="33"/>
        <v>-2</v>
      </c>
      <c r="Q51" s="171">
        <f t="shared" si="33"/>
        <v>11</v>
      </c>
      <c r="R51" s="171">
        <f t="shared" si="33"/>
        <v>0</v>
      </c>
      <c r="S51" s="171">
        <f t="shared" ref="S51:T51" si="34">S18-S49</f>
        <v>0</v>
      </c>
      <c r="T51" s="171">
        <f t="shared" si="34"/>
        <v>481</v>
      </c>
      <c r="U51" s="171">
        <f t="shared" ref="U51" si="35">U18-U49</f>
        <v>-865</v>
      </c>
      <c r="V51" s="171">
        <f>V18-V49</f>
        <v>0</v>
      </c>
      <c r="W51" s="171">
        <f>W18-W49</f>
        <v>0</v>
      </c>
      <c r="X51" s="171">
        <f>X18-X49</f>
        <v>0</v>
      </c>
      <c r="Y51" s="171">
        <f>Y18-Y49</f>
        <v>8698</v>
      </c>
      <c r="Z51" s="171">
        <f t="shared" ref="Z51:AZ51" si="36">Z18-Z49</f>
        <v>497</v>
      </c>
      <c r="AA51" s="171">
        <f t="shared" si="36"/>
        <v>0</v>
      </c>
      <c r="AB51" s="171">
        <f t="shared" si="36"/>
        <v>-3417</v>
      </c>
      <c r="AC51" s="171">
        <f t="shared" si="36"/>
        <v>166</v>
      </c>
      <c r="AD51" s="171">
        <f t="shared" si="36"/>
        <v>390</v>
      </c>
      <c r="AE51" s="171">
        <f t="shared" si="36"/>
        <v>-1812.3</v>
      </c>
      <c r="AF51" s="171">
        <f t="shared" si="36"/>
        <v>-20</v>
      </c>
      <c r="AG51" s="171">
        <f t="shared" si="36"/>
        <v>120</v>
      </c>
      <c r="AH51" s="171">
        <f t="shared" si="36"/>
        <v>23.395</v>
      </c>
      <c r="AI51" s="171">
        <f t="shared" si="36"/>
        <v>-579</v>
      </c>
      <c r="AJ51" s="171">
        <f t="shared" si="36"/>
        <v>-503</v>
      </c>
      <c r="AK51" s="171">
        <f t="shared" si="36"/>
        <v>-371</v>
      </c>
      <c r="AL51" s="171">
        <f t="shared" si="36"/>
        <v>-2249.4780000000001</v>
      </c>
      <c r="AM51" s="171">
        <f t="shared" si="36"/>
        <v>-488</v>
      </c>
      <c r="AN51" s="171">
        <f t="shared" si="36"/>
        <v>-616</v>
      </c>
      <c r="AO51" s="171">
        <f t="shared" si="36"/>
        <v>-691</v>
      </c>
      <c r="AP51" s="171">
        <f t="shared" si="36"/>
        <v>3486</v>
      </c>
      <c r="AQ51" s="171">
        <f t="shared" ref="AQ51" si="37">AQ18-AQ49</f>
        <v>0</v>
      </c>
      <c r="AR51" s="171">
        <f t="shared" si="36"/>
        <v>264</v>
      </c>
      <c r="AS51" s="171">
        <f t="shared" si="36"/>
        <v>-552.1</v>
      </c>
      <c r="AT51" s="171">
        <f t="shared" si="36"/>
        <v>-141</v>
      </c>
      <c r="AU51" s="171">
        <f t="shared" si="36"/>
        <v>-262</v>
      </c>
      <c r="AV51" s="171">
        <f t="shared" si="36"/>
        <v>-101</v>
      </c>
      <c r="AW51" s="171">
        <f t="shared" si="36"/>
        <v>195</v>
      </c>
      <c r="AX51" s="171">
        <f t="shared" si="36"/>
        <v>-999.76699999999994</v>
      </c>
      <c r="AY51" s="171">
        <f t="shared" si="36"/>
        <v>41</v>
      </c>
      <c r="AZ51" s="171">
        <f t="shared" si="36"/>
        <v>1428</v>
      </c>
    </row>
    <row r="52" spans="1:52" ht="12.95" customHeight="1">
      <c r="C52" s="154"/>
      <c r="D52" s="154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2.95" customHeight="1">
      <c r="B53" s="128" t="s">
        <v>55</v>
      </c>
      <c r="C53" s="154"/>
      <c r="D53" s="154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>
      <c r="A54" s="152">
        <v>27</v>
      </c>
      <c r="B54" s="154" t="s">
        <v>56</v>
      </c>
      <c r="D54" s="154"/>
      <c r="E54" s="171">
        <f>'ADJ DETAIL INPUT'!E53</f>
        <v>-3545</v>
      </c>
      <c r="F54" s="171">
        <f>'ADJ DETAIL INPUT'!F53</f>
        <v>0</v>
      </c>
      <c r="G54" s="171">
        <f>'ADJ DETAIL INPUT'!G53</f>
        <v>0</v>
      </c>
      <c r="H54" s="171">
        <f>'ADJ DETAIL INPUT'!H53</f>
        <v>0</v>
      </c>
      <c r="I54" s="171">
        <f>'ADJ DETAIL INPUT'!I53</f>
        <v>0.21</v>
      </c>
      <c r="J54" s="171">
        <f>'ADJ DETAIL INPUT'!J53</f>
        <v>-0.21</v>
      </c>
      <c r="K54" s="171">
        <f>'ADJ DETAIL INPUT'!K53</f>
        <v>-402.78</v>
      </c>
      <c r="L54" s="171">
        <f>'ADJ DETAIL INPUT'!L53</f>
        <v>-1.89</v>
      </c>
      <c r="M54" s="171">
        <f>'ADJ DETAIL INPUT'!M53</f>
        <v>9.4499999999999993</v>
      </c>
      <c r="N54" s="171">
        <f>'ADJ DETAIL INPUT'!N53</f>
        <v>0</v>
      </c>
      <c r="O54" s="171">
        <f>'ADJ DETAIL INPUT'!O53</f>
        <v>3.57</v>
      </c>
      <c r="P54" s="171">
        <f>'ADJ DETAIL INPUT'!P53</f>
        <v>-0.42</v>
      </c>
      <c r="Q54" s="171">
        <f>'ADJ DETAIL INPUT'!Q53</f>
        <v>2.31</v>
      </c>
      <c r="R54" s="171">
        <f>'ADJ DETAIL INPUT'!R53</f>
        <v>0</v>
      </c>
      <c r="S54" s="171">
        <f>'ADJ DETAIL INPUT'!S53</f>
        <v>0</v>
      </c>
      <c r="T54" s="171">
        <f>'ADJ DETAIL INPUT'!T53</f>
        <v>101.00999999999999</v>
      </c>
      <c r="U54" s="171">
        <f>'ADJ DETAIL INPUT'!U53</f>
        <v>-181.65</v>
      </c>
      <c r="V54" s="171">
        <f>'ADJ DETAIL INPUT'!V53</f>
        <v>251</v>
      </c>
      <c r="W54" s="171">
        <f>'ADJ DETAIL INPUT'!W53</f>
        <v>0</v>
      </c>
      <c r="X54" s="171">
        <f>'ADJ DETAIL INPUT'!X53</f>
        <v>0</v>
      </c>
      <c r="Y54" s="171">
        <f>'ADJ DETAIL INPUT'!AA53</f>
        <v>1826.58</v>
      </c>
      <c r="Z54" s="171">
        <f>'ADJ DETAIL INPUT'!AB53</f>
        <v>104.36999999999999</v>
      </c>
      <c r="AA54" s="171">
        <f>'ADJ DETAIL INPUT'!AC53</f>
        <v>0</v>
      </c>
      <c r="AB54" s="171">
        <f>'ADJ DETAIL INPUT'!AD53</f>
        <v>-717.56999999999994</v>
      </c>
      <c r="AC54" s="171">
        <f>'ADJ DETAIL INPUT'!AE53</f>
        <v>34.86</v>
      </c>
      <c r="AD54" s="171">
        <f>'ADJ DETAIL INPUT'!AF53</f>
        <v>81.899999999999991</v>
      </c>
      <c r="AE54" s="171">
        <f>'ADJ DETAIL INPUT'!AG53</f>
        <v>-380.58299999999997</v>
      </c>
      <c r="AF54" s="171">
        <f>'ADJ DETAIL INPUT'!AH53</f>
        <v>-4.2</v>
      </c>
      <c r="AG54" s="171">
        <f>'ADJ DETAIL INPUT'!AI53</f>
        <v>25.2</v>
      </c>
      <c r="AH54" s="171">
        <f>'ADJ DETAIL INPUT'!AJ53</f>
        <v>4.9129499999999995</v>
      </c>
      <c r="AI54" s="171">
        <f>'ADJ DETAIL INPUT'!AK53</f>
        <v>-121.58999999999999</v>
      </c>
      <c r="AJ54" s="171">
        <f>'ADJ DETAIL INPUT'!AL53</f>
        <v>-105.63</v>
      </c>
      <c r="AK54" s="171">
        <f>'ADJ DETAIL INPUT'!AM53</f>
        <v>-77.91</v>
      </c>
      <c r="AL54" s="171">
        <f>'ADJ DETAIL INPUT'!AN53</f>
        <v>-472.39037999999999</v>
      </c>
      <c r="AM54" s="171">
        <f>'ADJ DETAIL INPUT'!AO53</f>
        <v>-102.47999999999999</v>
      </c>
      <c r="AN54" s="171">
        <f>'ADJ DETAIL INPUT'!AP53</f>
        <v>-129.35999999999999</v>
      </c>
      <c r="AO54" s="171">
        <f>'ADJ DETAIL INPUT'!AQ53</f>
        <v>-145.10999999999999</v>
      </c>
      <c r="AP54" s="171">
        <f>'ADJ DETAIL INPUT'!AR53</f>
        <v>732.06</v>
      </c>
      <c r="AQ54" s="171">
        <f>'ADJ DETAIL INPUT'!AV53</f>
        <v>0</v>
      </c>
      <c r="AR54" s="171">
        <f>'ADJ DETAIL INPUT'!AW53</f>
        <v>55.44</v>
      </c>
      <c r="AS54" s="171">
        <f>'ADJ DETAIL INPUT'!AX53</f>
        <v>-115.941</v>
      </c>
      <c r="AT54" s="171">
        <f>'ADJ DETAIL INPUT'!AY53</f>
        <v>-29.61</v>
      </c>
      <c r="AU54" s="171">
        <f>'ADJ DETAIL INPUT'!AZ53</f>
        <v>-55.019999999999996</v>
      </c>
      <c r="AV54" s="171">
        <f>'ADJ DETAIL INPUT'!BA53</f>
        <v>-21.21</v>
      </c>
      <c r="AW54" s="171">
        <f>'ADJ DETAIL INPUT'!BB53</f>
        <v>40.949999999999996</v>
      </c>
      <c r="AX54" s="171">
        <f>'ADJ DETAIL INPUT'!BC53</f>
        <v>-209.95106999999999</v>
      </c>
      <c r="AY54" s="171">
        <f>'ADJ DETAIL INPUT'!BD53</f>
        <v>8.61</v>
      </c>
      <c r="AZ54" s="171">
        <f>'ADJ DETAIL INPUT'!BE53</f>
        <v>299.88</v>
      </c>
    </row>
    <row r="55" spans="1:52">
      <c r="A55" s="152">
        <v>28</v>
      </c>
      <c r="B55" s="154" t="s">
        <v>173</v>
      </c>
      <c r="D55" s="154"/>
      <c r="E55" s="171">
        <f>'ADJ DETAIL INPUT'!E54</f>
        <v>0</v>
      </c>
      <c r="F55" s="171">
        <f>'ADJ DETAIL INPUT'!F54</f>
        <v>-1.115478</v>
      </c>
      <c r="G55" s="171">
        <f>'ADJ DETAIL INPUT'!G54</f>
        <v>-4.914E-3</v>
      </c>
      <c r="H55" s="171">
        <f>'ADJ DETAIL INPUT'!H54</f>
        <v>0.78624000000000005</v>
      </c>
      <c r="I55" s="171">
        <f>'ADJ DETAIL INPUT'!I54</f>
        <v>0</v>
      </c>
      <c r="J55" s="171">
        <f>'ADJ DETAIL INPUT'!J54</f>
        <v>0</v>
      </c>
      <c r="K55" s="171">
        <f>'ADJ DETAIL INPUT'!K54</f>
        <v>0</v>
      </c>
      <c r="L55" s="171">
        <f>'ADJ DETAIL INPUT'!L54</f>
        <v>0</v>
      </c>
      <c r="M55" s="171">
        <f>'ADJ DETAIL INPUT'!M54</f>
        <v>0</v>
      </c>
      <c r="N55" s="171">
        <f>'ADJ DETAIL INPUT'!N54</f>
        <v>0</v>
      </c>
      <c r="O55" s="171">
        <f>'ADJ DETAIL INPUT'!O54</f>
        <v>0</v>
      </c>
      <c r="P55" s="171">
        <f>'ADJ DETAIL INPUT'!P54</f>
        <v>0</v>
      </c>
      <c r="Q55" s="171">
        <f>'ADJ DETAIL INPUT'!Q54</f>
        <v>0</v>
      </c>
      <c r="R55" s="171">
        <f>'ADJ DETAIL INPUT'!R54</f>
        <v>0</v>
      </c>
      <c r="S55" s="171">
        <f>'ADJ DETAIL INPUT'!S54</f>
        <v>0</v>
      </c>
      <c r="T55" s="171">
        <f>'ADJ DETAIL INPUT'!T54</f>
        <v>0</v>
      </c>
      <c r="U55" s="171">
        <f>'ADJ DETAIL INPUT'!U54</f>
        <v>0</v>
      </c>
      <c r="V55" s="171">
        <f>'ADJ DETAIL INPUT'!V54</f>
        <v>0</v>
      </c>
      <c r="W55" s="171">
        <f>'ADJ DETAIL INPUT'!W54</f>
        <v>-130.19643000000002</v>
      </c>
      <c r="X55" s="171">
        <f>'ADJ DETAIL INPUT'!X54</f>
        <v>59.980284000000005</v>
      </c>
      <c r="Y55" s="171">
        <f>'ADJ DETAIL INPUT'!AA54</f>
        <v>0</v>
      </c>
      <c r="Z55" s="171">
        <f>'ADJ DETAIL INPUT'!AB54</f>
        <v>0</v>
      </c>
      <c r="AA55" s="171">
        <f>'ADJ DETAIL INPUT'!AC54</f>
        <v>0</v>
      </c>
      <c r="AB55" s="171">
        <f>'ADJ DETAIL INPUT'!AD54</f>
        <v>-42.343938000000001</v>
      </c>
      <c r="AC55" s="171">
        <f>'ADJ DETAIL INPUT'!AE54</f>
        <v>0</v>
      </c>
      <c r="AD55" s="171">
        <f>'ADJ DETAIL INPUT'!AF54</f>
        <v>20.648628000000002</v>
      </c>
      <c r="AE55" s="171">
        <f>'ADJ DETAIL INPUT'!AG54</f>
        <v>0</v>
      </c>
      <c r="AF55" s="171">
        <f>'ADJ DETAIL INPUT'!AH54</f>
        <v>0</v>
      </c>
      <c r="AG55" s="171">
        <f>'ADJ DETAIL INPUT'!AI54</f>
        <v>0</v>
      </c>
      <c r="AH55" s="171">
        <f>'ADJ DETAIL INPUT'!AJ54</f>
        <v>0</v>
      </c>
      <c r="AI55" s="171">
        <f>'ADJ DETAIL INPUT'!AK54</f>
        <v>0</v>
      </c>
      <c r="AJ55" s="171">
        <f>'ADJ DETAIL INPUT'!AL54</f>
        <v>0</v>
      </c>
      <c r="AK55" s="171">
        <f>'ADJ DETAIL INPUT'!AM54</f>
        <v>0</v>
      </c>
      <c r="AL55" s="171">
        <f>'ADJ DETAIL INPUT'!AN54</f>
        <v>0</v>
      </c>
      <c r="AM55" s="171">
        <f>'ADJ DETAIL INPUT'!AO54</f>
        <v>-52.815671999999999</v>
      </c>
      <c r="AN55" s="171">
        <f>'ADJ DETAIL INPUT'!AP54</f>
        <v>-157.43964600000001</v>
      </c>
      <c r="AO55" s="171">
        <f>'ADJ DETAIL INPUT'!AQ54</f>
        <v>-32.368518000000002</v>
      </c>
      <c r="AP55" s="171">
        <f>'ADJ DETAIL INPUT'!AR54</f>
        <v>0</v>
      </c>
      <c r="AQ55" s="171">
        <f>'ADJ DETAIL INPUT'!AV54</f>
        <v>0</v>
      </c>
      <c r="AR55" s="171">
        <f>'ADJ DETAIL INPUT'!AW54</f>
        <v>4.1670720000000001</v>
      </c>
      <c r="AS55" s="171">
        <f>'ADJ DETAIL INPUT'!AX54</f>
        <v>0</v>
      </c>
      <c r="AT55" s="171">
        <f>'ADJ DETAIL INPUT'!AY54</f>
        <v>0</v>
      </c>
      <c r="AU55" s="171">
        <f>'ADJ DETAIL INPUT'!AZ54</f>
        <v>0</v>
      </c>
      <c r="AV55" s="171">
        <f>'ADJ DETAIL INPUT'!BA54</f>
        <v>0</v>
      </c>
      <c r="AW55" s="171">
        <f>'ADJ DETAIL INPUT'!BB54</f>
        <v>6.1425000000000001</v>
      </c>
      <c r="AX55" s="171">
        <f>'ADJ DETAIL INPUT'!BC54</f>
        <v>0</v>
      </c>
      <c r="AY55" s="171">
        <f>'ADJ DETAIL INPUT'!BD54</f>
        <v>-109.080972</v>
      </c>
      <c r="AZ55" s="171">
        <f>'ADJ DETAIL INPUT'!BE54</f>
        <v>0</v>
      </c>
    </row>
    <row r="56" spans="1:52">
      <c r="A56" s="152">
        <v>29</v>
      </c>
      <c r="B56" s="154" t="s">
        <v>57</v>
      </c>
      <c r="D56" s="154"/>
      <c r="E56" s="171">
        <f>'ADJ DETAIL INPUT'!E55</f>
        <v>6172</v>
      </c>
      <c r="F56" s="171">
        <f>'ADJ DETAIL INPUT'!F55</f>
        <v>0</v>
      </c>
      <c r="G56" s="171">
        <f>'ADJ DETAIL INPUT'!G55</f>
        <v>0</v>
      </c>
      <c r="H56" s="171">
        <f>'ADJ DETAIL INPUT'!H55</f>
        <v>0</v>
      </c>
      <c r="I56" s="171">
        <f>'ADJ DETAIL INPUT'!I55</f>
        <v>0</v>
      </c>
      <c r="J56" s="171">
        <f>'ADJ DETAIL INPUT'!J55</f>
        <v>0</v>
      </c>
      <c r="K56" s="171">
        <f>'ADJ DETAIL INPUT'!K55</f>
        <v>0</v>
      </c>
      <c r="L56" s="171">
        <f>'ADJ DETAIL INPUT'!L55</f>
        <v>0</v>
      </c>
      <c r="M56" s="171">
        <f>'ADJ DETAIL INPUT'!M55</f>
        <v>0</v>
      </c>
      <c r="N56" s="171">
        <f>'ADJ DETAIL INPUT'!N55</f>
        <v>363</v>
      </c>
      <c r="O56" s="171">
        <f>'ADJ DETAIL INPUT'!O55</f>
        <v>0</v>
      </c>
      <c r="P56" s="171">
        <f>'ADJ DETAIL INPUT'!P55</f>
        <v>0</v>
      </c>
      <c r="Q56" s="171">
        <f>'ADJ DETAIL INPUT'!Q55</f>
        <v>0</v>
      </c>
      <c r="R56" s="171">
        <f>'ADJ DETAIL INPUT'!R55</f>
        <v>0</v>
      </c>
      <c r="S56" s="171">
        <f>'ADJ DETAIL INPUT'!S55</f>
        <v>0</v>
      </c>
      <c r="T56" s="171">
        <f>'ADJ DETAIL INPUT'!T55</f>
        <v>0</v>
      </c>
      <c r="U56" s="171">
        <f>'ADJ DETAIL INPUT'!U55</f>
        <v>0</v>
      </c>
      <c r="V56" s="171">
        <f>'ADJ DETAIL INPUT'!V55</f>
        <v>0</v>
      </c>
      <c r="W56" s="171">
        <f>'ADJ DETAIL INPUT'!W55</f>
        <v>0</v>
      </c>
      <c r="X56" s="171">
        <f>'ADJ DETAIL INPUT'!X55</f>
        <v>0</v>
      </c>
      <c r="Y56" s="171">
        <f>'ADJ DETAIL INPUT'!AA55</f>
        <v>0</v>
      </c>
      <c r="Z56" s="171">
        <f>'ADJ DETAIL INPUT'!AB55</f>
        <v>0</v>
      </c>
      <c r="AA56" s="171">
        <f>'ADJ DETAIL INPUT'!AC55</f>
        <v>27</v>
      </c>
      <c r="AB56" s="171">
        <f>'ADJ DETAIL INPUT'!AD55</f>
        <v>0</v>
      </c>
      <c r="AC56" s="171">
        <f>'ADJ DETAIL INPUT'!AE55</f>
        <v>0</v>
      </c>
      <c r="AD56" s="171">
        <f>'ADJ DETAIL INPUT'!AF55</f>
        <v>0</v>
      </c>
      <c r="AE56" s="171">
        <f>'ADJ DETAIL INPUT'!AG55</f>
        <v>0</v>
      </c>
      <c r="AF56" s="171">
        <f>'ADJ DETAIL INPUT'!AH55</f>
        <v>0</v>
      </c>
      <c r="AG56" s="171">
        <f>'ADJ DETAIL INPUT'!AI55</f>
        <v>0</v>
      </c>
      <c r="AH56" s="171">
        <f>'ADJ DETAIL INPUT'!AJ55</f>
        <v>0</v>
      </c>
      <c r="AI56" s="171">
        <f>'ADJ DETAIL INPUT'!AK55</f>
        <v>0</v>
      </c>
      <c r="AJ56" s="171">
        <f>'ADJ DETAIL INPUT'!AL55</f>
        <v>0</v>
      </c>
      <c r="AK56" s="171">
        <f>'ADJ DETAIL INPUT'!AM55</f>
        <v>0</v>
      </c>
      <c r="AL56" s="171">
        <f>'ADJ DETAIL INPUT'!AN55</f>
        <v>0</v>
      </c>
      <c r="AM56" s="171">
        <f>'ADJ DETAIL INPUT'!AO55</f>
        <v>0</v>
      </c>
      <c r="AN56" s="171">
        <f>'ADJ DETAIL INPUT'!AP55</f>
        <v>0</v>
      </c>
      <c r="AO56" s="171">
        <f>'ADJ DETAIL INPUT'!AQ55</f>
        <v>0</v>
      </c>
      <c r="AP56" s="171">
        <f>'ADJ DETAIL INPUT'!AR55</f>
        <v>0</v>
      </c>
      <c r="AQ56" s="171">
        <f>'ADJ DETAIL INPUT'!AV55</f>
        <v>169</v>
      </c>
      <c r="AR56" s="171">
        <f>'ADJ DETAIL INPUT'!AW55</f>
        <v>0</v>
      </c>
      <c r="AS56" s="171">
        <f>'ADJ DETAIL INPUT'!AX55</f>
        <v>0</v>
      </c>
      <c r="AT56" s="171">
        <f>'ADJ DETAIL INPUT'!AY55</f>
        <v>0</v>
      </c>
      <c r="AU56" s="171">
        <f>'ADJ DETAIL INPUT'!AZ55</f>
        <v>0</v>
      </c>
      <c r="AV56" s="171">
        <f>'ADJ DETAIL INPUT'!BA55</f>
        <v>0</v>
      </c>
      <c r="AW56" s="171">
        <f>'ADJ DETAIL INPUT'!BB55</f>
        <v>0</v>
      </c>
      <c r="AX56" s="171">
        <f>'ADJ DETAIL INPUT'!BC55</f>
        <v>0</v>
      </c>
      <c r="AY56" s="171">
        <f>'ADJ DETAIL INPUT'!BD55</f>
        <v>0</v>
      </c>
      <c r="AZ56" s="171">
        <f>'ADJ DETAIL INPUT'!BE55</f>
        <v>0</v>
      </c>
    </row>
    <row r="57" spans="1:52">
      <c r="A57" s="152">
        <v>30</v>
      </c>
      <c r="B57" s="154" t="s">
        <v>58</v>
      </c>
      <c r="D57" s="154"/>
      <c r="E57" s="172">
        <f>'ADJ DETAIL INPUT'!E56</f>
        <v>-2</v>
      </c>
      <c r="F57" s="172">
        <f>'ADJ DETAIL INPUT'!F56</f>
        <v>0</v>
      </c>
      <c r="G57" s="172">
        <f>'ADJ DETAIL INPUT'!G56</f>
        <v>0</v>
      </c>
      <c r="H57" s="172">
        <f>'ADJ DETAIL INPUT'!H56</f>
        <v>0</v>
      </c>
      <c r="I57" s="172">
        <f>'ADJ DETAIL INPUT'!I56</f>
        <v>0</v>
      </c>
      <c r="J57" s="172">
        <f>'ADJ DETAIL INPUT'!J56</f>
        <v>0</v>
      </c>
      <c r="K57" s="172">
        <f>'ADJ DETAIL INPUT'!K56</f>
        <v>0</v>
      </c>
      <c r="L57" s="172">
        <f>'ADJ DETAIL INPUT'!L56</f>
        <v>0</v>
      </c>
      <c r="M57" s="172">
        <f>'ADJ DETAIL INPUT'!M56</f>
        <v>0</v>
      </c>
      <c r="N57" s="172">
        <f>'ADJ DETAIL INPUT'!N56</f>
        <v>0</v>
      </c>
      <c r="O57" s="172">
        <f>'ADJ DETAIL INPUT'!O56</f>
        <v>0</v>
      </c>
      <c r="P57" s="172">
        <f>'ADJ DETAIL INPUT'!P56</f>
        <v>0</v>
      </c>
      <c r="Q57" s="172">
        <f>'ADJ DETAIL INPUT'!Q56</f>
        <v>0</v>
      </c>
      <c r="R57" s="172">
        <f>'ADJ DETAIL INPUT'!R56</f>
        <v>0</v>
      </c>
      <c r="S57" s="172">
        <f>'ADJ DETAIL INPUT'!S56</f>
        <v>0</v>
      </c>
      <c r="T57" s="172">
        <f>'ADJ DETAIL INPUT'!T56</f>
        <v>0</v>
      </c>
      <c r="U57" s="172">
        <f>'ADJ DETAIL INPUT'!U56</f>
        <v>0</v>
      </c>
      <c r="V57" s="172">
        <f>'ADJ DETAIL INPUT'!V56</f>
        <v>0</v>
      </c>
      <c r="W57" s="172">
        <f>'ADJ DETAIL INPUT'!W56</f>
        <v>0</v>
      </c>
      <c r="X57" s="172">
        <f>'ADJ DETAIL INPUT'!X56</f>
        <v>0</v>
      </c>
      <c r="Y57" s="172">
        <f>'ADJ DETAIL INPUT'!AA56</f>
        <v>0</v>
      </c>
      <c r="Z57" s="172">
        <f>'ADJ DETAIL INPUT'!AB56</f>
        <v>0</v>
      </c>
      <c r="AA57" s="172">
        <f>'ADJ DETAIL INPUT'!AC56</f>
        <v>0</v>
      </c>
      <c r="AB57" s="172">
        <f>'ADJ DETAIL INPUT'!AD56</f>
        <v>0</v>
      </c>
      <c r="AC57" s="172">
        <f>'ADJ DETAIL INPUT'!AE56</f>
        <v>0</v>
      </c>
      <c r="AD57" s="172">
        <f>'ADJ DETAIL INPUT'!AF56</f>
        <v>0</v>
      </c>
      <c r="AE57" s="172">
        <f>'ADJ DETAIL INPUT'!AG56</f>
        <v>0</v>
      </c>
      <c r="AF57" s="172">
        <f>'ADJ DETAIL INPUT'!AH56</f>
        <v>0</v>
      </c>
      <c r="AG57" s="172">
        <f>'ADJ DETAIL INPUT'!AI56</f>
        <v>0</v>
      </c>
      <c r="AH57" s="172">
        <f>'ADJ DETAIL INPUT'!AJ56</f>
        <v>0</v>
      </c>
      <c r="AI57" s="172">
        <f>'ADJ DETAIL INPUT'!AK56</f>
        <v>0</v>
      </c>
      <c r="AJ57" s="172">
        <f>'ADJ DETAIL INPUT'!AL56</f>
        <v>0</v>
      </c>
      <c r="AK57" s="172">
        <f>'ADJ DETAIL INPUT'!AM56</f>
        <v>0</v>
      </c>
      <c r="AL57" s="172">
        <f>'ADJ DETAIL INPUT'!AN56</f>
        <v>0</v>
      </c>
      <c r="AM57" s="172">
        <f>'ADJ DETAIL INPUT'!AO56</f>
        <v>0</v>
      </c>
      <c r="AN57" s="172">
        <f>'ADJ DETAIL INPUT'!AP56</f>
        <v>0</v>
      </c>
      <c r="AO57" s="172">
        <f>'ADJ DETAIL INPUT'!AQ56</f>
        <v>0</v>
      </c>
      <c r="AP57" s="172">
        <f>'ADJ DETAIL INPUT'!AR56</f>
        <v>0</v>
      </c>
      <c r="AQ57" s="172">
        <f>'ADJ DETAIL INPUT'!AV56</f>
        <v>0</v>
      </c>
      <c r="AR57" s="172">
        <f>'ADJ DETAIL INPUT'!AW56</f>
        <v>0</v>
      </c>
      <c r="AS57" s="172">
        <f>'ADJ DETAIL INPUT'!AX56</f>
        <v>0</v>
      </c>
      <c r="AT57" s="172">
        <f>'ADJ DETAIL INPUT'!AY56</f>
        <v>0</v>
      </c>
      <c r="AU57" s="172">
        <f>'ADJ DETAIL INPUT'!AZ56</f>
        <v>0</v>
      </c>
      <c r="AV57" s="172">
        <f>'ADJ DETAIL INPUT'!BA56</f>
        <v>0</v>
      </c>
      <c r="AW57" s="172">
        <f>'ADJ DETAIL INPUT'!BB56</f>
        <v>0</v>
      </c>
      <c r="AX57" s="172">
        <f>'ADJ DETAIL INPUT'!BC56</f>
        <v>0</v>
      </c>
      <c r="AY57" s="172">
        <f>'ADJ DETAIL INPUT'!BD56</f>
        <v>0</v>
      </c>
      <c r="AZ57" s="172">
        <f>'ADJ DETAIL INPUT'!BE56</f>
        <v>0</v>
      </c>
    </row>
    <row r="58" spans="1:52"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s="153" customFormat="1" ht="12.75" thickBot="1">
      <c r="A59" s="152">
        <v>31</v>
      </c>
      <c r="B59" s="153" t="s">
        <v>59</v>
      </c>
      <c r="E59" s="244">
        <f>E51-SUM(E54:E57)</f>
        <v>29386</v>
      </c>
      <c r="F59" s="244">
        <f t="shared" ref="F59:R59" si="38">F51-SUM(F54:F57)</f>
        <v>1.115478</v>
      </c>
      <c r="G59" s="244">
        <f t="shared" si="38"/>
        <v>4.914E-3</v>
      </c>
      <c r="H59" s="244">
        <f t="shared" si="38"/>
        <v>-0.78624000000000005</v>
      </c>
      <c r="I59" s="244">
        <f t="shared" si="38"/>
        <v>0.79</v>
      </c>
      <c r="J59" s="244">
        <f t="shared" si="38"/>
        <v>-0.79</v>
      </c>
      <c r="K59" s="244">
        <f t="shared" si="38"/>
        <v>-1515.22</v>
      </c>
      <c r="L59" s="244">
        <f t="shared" si="38"/>
        <v>-7.11</v>
      </c>
      <c r="M59" s="244">
        <f t="shared" si="38"/>
        <v>35.549999999999997</v>
      </c>
      <c r="N59" s="244">
        <f t="shared" si="38"/>
        <v>-363</v>
      </c>
      <c r="O59" s="244">
        <f t="shared" si="38"/>
        <v>13.43</v>
      </c>
      <c r="P59" s="244">
        <f t="shared" si="38"/>
        <v>-1.58</v>
      </c>
      <c r="Q59" s="244">
        <f t="shared" si="38"/>
        <v>8.69</v>
      </c>
      <c r="R59" s="244">
        <f t="shared" si="38"/>
        <v>0</v>
      </c>
      <c r="S59" s="244">
        <f t="shared" ref="S59:T59" si="39">S51-SUM(S54:S57)</f>
        <v>0</v>
      </c>
      <c r="T59" s="244">
        <f t="shared" si="39"/>
        <v>379.99</v>
      </c>
      <c r="U59" s="244">
        <f t="shared" ref="U59" si="40">U51-SUM(U54:U57)</f>
        <v>-683.35</v>
      </c>
      <c r="V59" s="244">
        <f>V51-SUM(V54:V57)</f>
        <v>-251</v>
      </c>
      <c r="W59" s="244">
        <f>W51-SUM(W54:W57)</f>
        <v>130.19643000000002</v>
      </c>
      <c r="X59" s="244">
        <f>X51-SUM(X54:X57)</f>
        <v>-59.980284000000005</v>
      </c>
      <c r="Y59" s="244">
        <f>Y51-SUM(Y54:Y57)</f>
        <v>6871.42</v>
      </c>
      <c r="Z59" s="244">
        <f t="shared" ref="Z59:AZ59" si="41">Z51-SUM(Z54:Z57)</f>
        <v>392.63</v>
      </c>
      <c r="AA59" s="244">
        <f t="shared" si="41"/>
        <v>-27</v>
      </c>
      <c r="AB59" s="244">
        <f t="shared" si="41"/>
        <v>-2657.0860620000003</v>
      </c>
      <c r="AC59" s="244">
        <f t="shared" si="41"/>
        <v>131.13999999999999</v>
      </c>
      <c r="AD59" s="244">
        <f t="shared" si="41"/>
        <v>287.45137199999999</v>
      </c>
      <c r="AE59" s="244">
        <f t="shared" si="41"/>
        <v>-1431.7170000000001</v>
      </c>
      <c r="AF59" s="244">
        <f t="shared" si="41"/>
        <v>-15.8</v>
      </c>
      <c r="AG59" s="244">
        <f t="shared" si="41"/>
        <v>94.8</v>
      </c>
      <c r="AH59" s="244">
        <f t="shared" si="41"/>
        <v>18.482050000000001</v>
      </c>
      <c r="AI59" s="244">
        <f t="shared" si="41"/>
        <v>-457.41</v>
      </c>
      <c r="AJ59" s="244">
        <f t="shared" si="41"/>
        <v>-397.37</v>
      </c>
      <c r="AK59" s="244">
        <f t="shared" si="41"/>
        <v>-293.09000000000003</v>
      </c>
      <c r="AL59" s="244">
        <f t="shared" si="41"/>
        <v>-1777.08762</v>
      </c>
      <c r="AM59" s="244">
        <f t="shared" si="41"/>
        <v>-332.70432800000003</v>
      </c>
      <c r="AN59" s="244">
        <f t="shared" si="41"/>
        <v>-329.200354</v>
      </c>
      <c r="AO59" s="244">
        <f t="shared" si="41"/>
        <v>-513.52148199999999</v>
      </c>
      <c r="AP59" s="244">
        <f t="shared" si="41"/>
        <v>2753.94</v>
      </c>
      <c r="AQ59" s="244">
        <f t="shared" ref="AQ59" si="42">AQ51-SUM(AQ54:AQ57)</f>
        <v>-169</v>
      </c>
      <c r="AR59" s="244">
        <f t="shared" si="41"/>
        <v>204.39292800000001</v>
      </c>
      <c r="AS59" s="244">
        <f t="shared" si="41"/>
        <v>-436.15899999999999</v>
      </c>
      <c r="AT59" s="244">
        <f t="shared" si="41"/>
        <v>-111.39</v>
      </c>
      <c r="AU59" s="244">
        <f t="shared" si="41"/>
        <v>-206.98000000000002</v>
      </c>
      <c r="AV59" s="244">
        <f t="shared" si="41"/>
        <v>-79.789999999999992</v>
      </c>
      <c r="AW59" s="244">
        <f t="shared" si="41"/>
        <v>147.9075</v>
      </c>
      <c r="AX59" s="244">
        <f t="shared" si="41"/>
        <v>-789.81592999999998</v>
      </c>
      <c r="AY59" s="244">
        <f t="shared" si="41"/>
        <v>141.47097200000002</v>
      </c>
      <c r="AZ59" s="244">
        <f t="shared" si="41"/>
        <v>1128.1199999999999</v>
      </c>
    </row>
    <row r="60" spans="1:52" ht="12.75" thickTop="1"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</row>
    <row r="61" spans="1:52">
      <c r="B61" s="128" t="s">
        <v>104</v>
      </c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</row>
    <row r="62" spans="1:52">
      <c r="B62" s="128" t="s">
        <v>105</v>
      </c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</row>
    <row r="63" spans="1:52">
      <c r="A63" s="152">
        <v>32</v>
      </c>
      <c r="B63" s="154"/>
      <c r="C63" s="154" t="s">
        <v>42</v>
      </c>
      <c r="D63" s="154"/>
      <c r="E63" s="210">
        <f>'ADJ DETAIL INPUT'!E62</f>
        <v>32352</v>
      </c>
      <c r="F63" s="210">
        <f>'ADJ DETAIL INPUT'!F62</f>
        <v>0</v>
      </c>
      <c r="G63" s="210">
        <f>'ADJ DETAIL INPUT'!G62</f>
        <v>0</v>
      </c>
      <c r="H63" s="210">
        <f>'ADJ DETAIL INPUT'!H62</f>
        <v>0</v>
      </c>
      <c r="I63" s="210">
        <f>'ADJ DETAIL INPUT'!I62</f>
        <v>0</v>
      </c>
      <c r="J63" s="210">
        <f>'ADJ DETAIL INPUT'!J62</f>
        <v>0</v>
      </c>
      <c r="K63" s="210">
        <f>'ADJ DETAIL INPUT'!K62</f>
        <v>0</v>
      </c>
      <c r="L63" s="210">
        <f>'ADJ DETAIL INPUT'!L62</f>
        <v>0</v>
      </c>
      <c r="M63" s="210">
        <f>'ADJ DETAIL INPUT'!M62</f>
        <v>0</v>
      </c>
      <c r="N63" s="210">
        <f>'ADJ DETAIL INPUT'!N62</f>
        <v>0</v>
      </c>
      <c r="O63" s="210">
        <f>'ADJ DETAIL INPUT'!O62</f>
        <v>0</v>
      </c>
      <c r="P63" s="210">
        <f>'ADJ DETAIL INPUT'!P62</f>
        <v>0</v>
      </c>
      <c r="Q63" s="210">
        <f>'ADJ DETAIL INPUT'!Q62</f>
        <v>0</v>
      </c>
      <c r="R63" s="210">
        <f>'ADJ DETAIL INPUT'!R62</f>
        <v>0</v>
      </c>
      <c r="S63" s="210">
        <f>'ADJ DETAIL INPUT'!S62</f>
        <v>0</v>
      </c>
      <c r="T63" s="210">
        <f>'ADJ DETAIL INPUT'!T62</f>
        <v>0</v>
      </c>
      <c r="U63" s="210">
        <f>'ADJ DETAIL INPUT'!U62</f>
        <v>0</v>
      </c>
      <c r="V63" s="210">
        <f>'ADJ DETAIL INPUT'!V62</f>
        <v>0</v>
      </c>
      <c r="W63" s="210">
        <f>'ADJ DETAIL INPUT'!W62</f>
        <v>737</v>
      </c>
      <c r="X63" s="210">
        <f>'ADJ DETAIL INPUT'!X62</f>
        <v>0</v>
      </c>
      <c r="Y63" s="210">
        <f>'ADJ DETAIL INPUT'!AA62</f>
        <v>0</v>
      </c>
      <c r="Z63" s="210">
        <f>'ADJ DETAIL INPUT'!AB62</f>
        <v>0</v>
      </c>
      <c r="AA63" s="210">
        <f>'ADJ DETAIL INPUT'!AC62</f>
        <v>0</v>
      </c>
      <c r="AB63" s="210">
        <f>'ADJ DETAIL INPUT'!AD62</f>
        <v>0</v>
      </c>
      <c r="AC63" s="210">
        <f>'ADJ DETAIL INPUT'!AE62</f>
        <v>0</v>
      </c>
      <c r="AD63" s="210">
        <f>'ADJ DETAIL INPUT'!AF62</f>
        <v>0</v>
      </c>
      <c r="AE63" s="210">
        <f>'ADJ DETAIL INPUT'!AG62</f>
        <v>0</v>
      </c>
      <c r="AF63" s="210">
        <f>'ADJ DETAIL INPUT'!AH62</f>
        <v>0</v>
      </c>
      <c r="AG63" s="210">
        <f>'ADJ DETAIL INPUT'!AI62</f>
        <v>0</v>
      </c>
      <c r="AH63" s="210">
        <f>'ADJ DETAIL INPUT'!AJ62</f>
        <v>0</v>
      </c>
      <c r="AI63" s="210">
        <f>'ADJ DETAIL INPUT'!AK62</f>
        <v>0</v>
      </c>
      <c r="AJ63" s="210">
        <f>'ADJ DETAIL INPUT'!AL62</f>
        <v>0</v>
      </c>
      <c r="AK63" s="210">
        <f>'ADJ DETAIL INPUT'!AM62</f>
        <v>0</v>
      </c>
      <c r="AL63" s="210">
        <f>'ADJ DETAIL INPUT'!AN62</f>
        <v>0</v>
      </c>
      <c r="AM63" s="210">
        <f>'ADJ DETAIL INPUT'!AO62</f>
        <v>189</v>
      </c>
      <c r="AN63" s="210">
        <f>'ADJ DETAIL INPUT'!AP62</f>
        <v>1412</v>
      </c>
      <c r="AO63" s="210">
        <f>'ADJ DETAIL INPUT'!AQ62</f>
        <v>705</v>
      </c>
      <c r="AP63" s="210">
        <f>'ADJ DETAIL INPUT'!AR62</f>
        <v>0</v>
      </c>
      <c r="AQ63" s="210">
        <f>'ADJ DETAIL INPUT'!AV62</f>
        <v>0</v>
      </c>
      <c r="AR63" s="210">
        <f>'ADJ DETAIL INPUT'!AW62</f>
        <v>0</v>
      </c>
      <c r="AS63" s="210">
        <f>'ADJ DETAIL INPUT'!AX62</f>
        <v>0</v>
      </c>
      <c r="AT63" s="210">
        <f>'ADJ DETAIL INPUT'!AY62</f>
        <v>0</v>
      </c>
      <c r="AU63" s="210">
        <f>'ADJ DETAIL INPUT'!AZ62</f>
        <v>0</v>
      </c>
      <c r="AV63" s="210">
        <f>'ADJ DETAIL INPUT'!BA62</f>
        <v>0</v>
      </c>
      <c r="AW63" s="210">
        <f>'ADJ DETAIL INPUT'!BB62</f>
        <v>0</v>
      </c>
      <c r="AX63" s="210">
        <f>'ADJ DETAIL INPUT'!BC62</f>
        <v>0</v>
      </c>
      <c r="AY63" s="210">
        <f>'ADJ DETAIL INPUT'!BD62</f>
        <v>1419</v>
      </c>
      <c r="AZ63" s="210">
        <f>'ADJ DETAIL INPUT'!BE62</f>
        <v>0</v>
      </c>
    </row>
    <row r="64" spans="1:52">
      <c r="A64" s="152">
        <v>33</v>
      </c>
      <c r="B64" s="154"/>
      <c r="C64" s="154" t="s">
        <v>61</v>
      </c>
      <c r="D64" s="154"/>
      <c r="E64" s="171">
        <f>'ADJ DETAIL INPUT'!E63</f>
        <v>571039</v>
      </c>
      <c r="F64" s="171">
        <f>'ADJ DETAIL INPUT'!F63</f>
        <v>0</v>
      </c>
      <c r="G64" s="171">
        <f>'ADJ DETAIL INPUT'!G63</f>
        <v>0</v>
      </c>
      <c r="H64" s="171">
        <f>'ADJ DETAIL INPUT'!H63</f>
        <v>0</v>
      </c>
      <c r="I64" s="171">
        <f>'ADJ DETAIL INPUT'!I63</f>
        <v>0</v>
      </c>
      <c r="J64" s="171">
        <f>'ADJ DETAIL INPUT'!J63</f>
        <v>0</v>
      </c>
      <c r="K64" s="171">
        <f>'ADJ DETAIL INPUT'!K63</f>
        <v>0</v>
      </c>
      <c r="L64" s="171">
        <f>'ADJ DETAIL INPUT'!L63</f>
        <v>0</v>
      </c>
      <c r="M64" s="171">
        <f>'ADJ DETAIL INPUT'!M63</f>
        <v>0</v>
      </c>
      <c r="N64" s="171">
        <f>'ADJ DETAIL INPUT'!N63</f>
        <v>0</v>
      </c>
      <c r="O64" s="171">
        <f>'ADJ DETAIL INPUT'!O63</f>
        <v>0</v>
      </c>
      <c r="P64" s="171">
        <f>'ADJ DETAIL INPUT'!P63</f>
        <v>0</v>
      </c>
      <c r="Q64" s="171">
        <f>'ADJ DETAIL INPUT'!Q63</f>
        <v>0</v>
      </c>
      <c r="R64" s="171">
        <f>'ADJ DETAIL INPUT'!R63</f>
        <v>0</v>
      </c>
      <c r="S64" s="171">
        <f>'ADJ DETAIL INPUT'!S63</f>
        <v>0</v>
      </c>
      <c r="T64" s="171">
        <f>'ADJ DETAIL INPUT'!T63</f>
        <v>0</v>
      </c>
      <c r="U64" s="171">
        <f>'ADJ DETAIL INPUT'!U63</f>
        <v>0</v>
      </c>
      <c r="V64" s="171">
        <f>'ADJ DETAIL INPUT'!V63</f>
        <v>0</v>
      </c>
      <c r="W64" s="171">
        <f>'ADJ DETAIL INPUT'!W63</f>
        <v>21202</v>
      </c>
      <c r="X64" s="171">
        <f>'ADJ DETAIL INPUT'!X63</f>
        <v>0</v>
      </c>
      <c r="Y64" s="171">
        <f>'ADJ DETAIL INPUT'!AA63</f>
        <v>0</v>
      </c>
      <c r="Z64" s="171">
        <f>'ADJ DETAIL INPUT'!AB63</f>
        <v>0</v>
      </c>
      <c r="AA64" s="171">
        <f>'ADJ DETAIL INPUT'!AC63</f>
        <v>0</v>
      </c>
      <c r="AB64" s="171">
        <f>'ADJ DETAIL INPUT'!AD63</f>
        <v>0</v>
      </c>
      <c r="AC64" s="171">
        <f>'ADJ DETAIL INPUT'!AE63</f>
        <v>0</v>
      </c>
      <c r="AD64" s="171">
        <f>'ADJ DETAIL INPUT'!AF63</f>
        <v>0</v>
      </c>
      <c r="AE64" s="171">
        <f>'ADJ DETAIL INPUT'!AG63</f>
        <v>0</v>
      </c>
      <c r="AF64" s="171">
        <f>'ADJ DETAIL INPUT'!AH63</f>
        <v>0</v>
      </c>
      <c r="AG64" s="171">
        <f>'ADJ DETAIL INPUT'!AI63</f>
        <v>0</v>
      </c>
      <c r="AH64" s="171">
        <f>'ADJ DETAIL INPUT'!AJ63</f>
        <v>0</v>
      </c>
      <c r="AI64" s="171">
        <f>'ADJ DETAIL INPUT'!AK63</f>
        <v>0</v>
      </c>
      <c r="AJ64" s="171">
        <f>'ADJ DETAIL INPUT'!AL63</f>
        <v>0</v>
      </c>
      <c r="AK64" s="171">
        <f>'ADJ DETAIL INPUT'!AM63</f>
        <v>0</v>
      </c>
      <c r="AL64" s="171">
        <f>'ADJ DETAIL INPUT'!AN63</f>
        <v>0</v>
      </c>
      <c r="AM64" s="171">
        <f>'ADJ DETAIL INPUT'!AO63</f>
        <v>9479</v>
      </c>
      <c r="AN64" s="171">
        <f>'ADJ DETAIL INPUT'!AP63</f>
        <v>44879</v>
      </c>
      <c r="AO64" s="171">
        <f>'ADJ DETAIL INPUT'!AQ63</f>
        <v>15838</v>
      </c>
      <c r="AP64" s="171">
        <f>'ADJ DETAIL INPUT'!AR63</f>
        <v>0</v>
      </c>
      <c r="AQ64" s="171">
        <f>'ADJ DETAIL INPUT'!AV63</f>
        <v>0</v>
      </c>
      <c r="AR64" s="171">
        <f>'ADJ DETAIL INPUT'!AW63</f>
        <v>0</v>
      </c>
      <c r="AS64" s="171">
        <f>'ADJ DETAIL INPUT'!AX63</f>
        <v>0</v>
      </c>
      <c r="AT64" s="171">
        <f>'ADJ DETAIL INPUT'!AY63</f>
        <v>0</v>
      </c>
      <c r="AU64" s="171">
        <f>'ADJ DETAIL INPUT'!AZ63</f>
        <v>0</v>
      </c>
      <c r="AV64" s="171">
        <f>'ADJ DETAIL INPUT'!BA63</f>
        <v>0</v>
      </c>
      <c r="AW64" s="171">
        <f>'ADJ DETAIL INPUT'!BB63</f>
        <v>0</v>
      </c>
      <c r="AX64" s="171">
        <f>'ADJ DETAIL INPUT'!BC63</f>
        <v>0</v>
      </c>
      <c r="AY64" s="171">
        <f>'ADJ DETAIL INPUT'!BD63</f>
        <v>35851</v>
      </c>
      <c r="AZ64" s="171">
        <f>'ADJ DETAIL INPUT'!BE63</f>
        <v>0</v>
      </c>
    </row>
    <row r="65" spans="1:52">
      <c r="A65" s="152">
        <v>34</v>
      </c>
      <c r="B65" s="154"/>
      <c r="C65" s="154" t="s">
        <v>62</v>
      </c>
      <c r="D65" s="154"/>
      <c r="E65" s="172">
        <f>'ADJ DETAIL INPUT'!E64</f>
        <v>158395</v>
      </c>
      <c r="F65" s="172">
        <f>'ADJ DETAIL INPUT'!F64</f>
        <v>0</v>
      </c>
      <c r="G65" s="172">
        <f>'ADJ DETAIL INPUT'!G64</f>
        <v>0</v>
      </c>
      <c r="H65" s="172">
        <f>'ADJ DETAIL INPUT'!H64</f>
        <v>0</v>
      </c>
      <c r="I65" s="172">
        <f>'ADJ DETAIL INPUT'!I64</f>
        <v>0</v>
      </c>
      <c r="J65" s="172">
        <f>'ADJ DETAIL INPUT'!J64</f>
        <v>0</v>
      </c>
      <c r="K65" s="172">
        <f>'ADJ DETAIL INPUT'!K64</f>
        <v>0</v>
      </c>
      <c r="L65" s="172">
        <f>'ADJ DETAIL INPUT'!L64</f>
        <v>0</v>
      </c>
      <c r="M65" s="172">
        <f>'ADJ DETAIL INPUT'!M64</f>
        <v>0</v>
      </c>
      <c r="N65" s="172">
        <f>'ADJ DETAIL INPUT'!N64</f>
        <v>0</v>
      </c>
      <c r="O65" s="172">
        <f>'ADJ DETAIL INPUT'!O64</f>
        <v>0</v>
      </c>
      <c r="P65" s="172">
        <f>'ADJ DETAIL INPUT'!P64</f>
        <v>0</v>
      </c>
      <c r="Q65" s="172">
        <f>'ADJ DETAIL INPUT'!Q64</f>
        <v>0</v>
      </c>
      <c r="R65" s="172">
        <f>'ADJ DETAIL INPUT'!R64</f>
        <v>0</v>
      </c>
      <c r="S65" s="172">
        <f>'ADJ DETAIL INPUT'!S64</f>
        <v>0</v>
      </c>
      <c r="T65" s="172">
        <f>'ADJ DETAIL INPUT'!T64</f>
        <v>0</v>
      </c>
      <c r="U65" s="172">
        <f>'ADJ DETAIL INPUT'!U64</f>
        <v>0</v>
      </c>
      <c r="V65" s="172">
        <f>'ADJ DETAIL INPUT'!V64</f>
        <v>0</v>
      </c>
      <c r="W65" s="172">
        <f>'ADJ DETAIL INPUT'!W64</f>
        <v>2983</v>
      </c>
      <c r="X65" s="172">
        <f>'ADJ DETAIL INPUT'!X64</f>
        <v>0</v>
      </c>
      <c r="Y65" s="172">
        <f>'ADJ DETAIL INPUT'!AA64</f>
        <v>0</v>
      </c>
      <c r="Z65" s="172">
        <f>'ADJ DETAIL INPUT'!AB64</f>
        <v>0</v>
      </c>
      <c r="AA65" s="172">
        <f>'ADJ DETAIL INPUT'!AC64</f>
        <v>0</v>
      </c>
      <c r="AB65" s="172">
        <f>'ADJ DETAIL INPUT'!AD64</f>
        <v>0</v>
      </c>
      <c r="AC65" s="172">
        <f>'ADJ DETAIL INPUT'!AE64</f>
        <v>0</v>
      </c>
      <c r="AD65" s="172">
        <f>'ADJ DETAIL INPUT'!AF64</f>
        <v>0</v>
      </c>
      <c r="AE65" s="172">
        <f>'ADJ DETAIL INPUT'!AG64</f>
        <v>0</v>
      </c>
      <c r="AF65" s="172">
        <f>'ADJ DETAIL INPUT'!AH64</f>
        <v>0</v>
      </c>
      <c r="AG65" s="172">
        <f>'ADJ DETAIL INPUT'!AI64</f>
        <v>0</v>
      </c>
      <c r="AH65" s="172">
        <f>'ADJ DETAIL INPUT'!AJ64</f>
        <v>0</v>
      </c>
      <c r="AI65" s="172">
        <f>'ADJ DETAIL INPUT'!AK64</f>
        <v>0</v>
      </c>
      <c r="AJ65" s="172">
        <f>'ADJ DETAIL INPUT'!AL64</f>
        <v>0</v>
      </c>
      <c r="AK65" s="172">
        <f>'ADJ DETAIL INPUT'!AM64</f>
        <v>0</v>
      </c>
      <c r="AL65" s="172">
        <f>'ADJ DETAIL INPUT'!AN64</f>
        <v>0</v>
      </c>
      <c r="AM65" s="172">
        <f>'ADJ DETAIL INPUT'!AO64</f>
        <v>2856</v>
      </c>
      <c r="AN65" s="172">
        <f>'ADJ DETAIL INPUT'!AP64</f>
        <v>96</v>
      </c>
      <c r="AO65" s="172">
        <f>'ADJ DETAIL INPUT'!AQ64</f>
        <v>-595</v>
      </c>
      <c r="AP65" s="172">
        <f>'ADJ DETAIL INPUT'!AR64</f>
        <v>0</v>
      </c>
      <c r="AQ65" s="172">
        <f>'ADJ DETAIL INPUT'!AV64</f>
        <v>0</v>
      </c>
      <c r="AR65" s="172">
        <f>'ADJ DETAIL INPUT'!AW64</f>
        <v>0</v>
      </c>
      <c r="AS65" s="172">
        <f>'ADJ DETAIL INPUT'!AX64</f>
        <v>0</v>
      </c>
      <c r="AT65" s="172">
        <f>'ADJ DETAIL INPUT'!AY64</f>
        <v>0</v>
      </c>
      <c r="AU65" s="172">
        <f>'ADJ DETAIL INPUT'!AZ64</f>
        <v>0</v>
      </c>
      <c r="AV65" s="172">
        <f>'ADJ DETAIL INPUT'!BA64</f>
        <v>0</v>
      </c>
      <c r="AW65" s="172">
        <f>'ADJ DETAIL INPUT'!BB64</f>
        <v>0</v>
      </c>
      <c r="AX65" s="172">
        <f>'ADJ DETAIL INPUT'!BC64</f>
        <v>0</v>
      </c>
      <c r="AY65" s="172">
        <f>'ADJ DETAIL INPUT'!BD64</f>
        <v>-1720</v>
      </c>
      <c r="AZ65" s="172">
        <f>'ADJ DETAIL INPUT'!BE64</f>
        <v>0</v>
      </c>
    </row>
    <row r="66" spans="1:52" ht="18" customHeight="1">
      <c r="A66" s="152">
        <v>35</v>
      </c>
      <c r="B66" s="154" t="s">
        <v>63</v>
      </c>
      <c r="C66" s="154"/>
      <c r="E66" s="171">
        <f>SUM(E63:E65)</f>
        <v>761786</v>
      </c>
      <c r="F66" s="171">
        <f t="shared" ref="F66:R66" si="43">SUM(F63:F65)</f>
        <v>0</v>
      </c>
      <c r="G66" s="171">
        <f t="shared" si="43"/>
        <v>0</v>
      </c>
      <c r="H66" s="171">
        <f t="shared" si="43"/>
        <v>0</v>
      </c>
      <c r="I66" s="171">
        <f t="shared" si="43"/>
        <v>0</v>
      </c>
      <c r="J66" s="171">
        <f t="shared" si="43"/>
        <v>0</v>
      </c>
      <c r="K66" s="171">
        <f t="shared" si="43"/>
        <v>0</v>
      </c>
      <c r="L66" s="171">
        <f t="shared" si="43"/>
        <v>0</v>
      </c>
      <c r="M66" s="171">
        <f t="shared" si="43"/>
        <v>0</v>
      </c>
      <c r="N66" s="171">
        <f t="shared" si="43"/>
        <v>0</v>
      </c>
      <c r="O66" s="171">
        <f t="shared" si="43"/>
        <v>0</v>
      </c>
      <c r="P66" s="171">
        <f t="shared" si="43"/>
        <v>0</v>
      </c>
      <c r="Q66" s="171">
        <f t="shared" si="43"/>
        <v>0</v>
      </c>
      <c r="R66" s="171">
        <f t="shared" si="43"/>
        <v>0</v>
      </c>
      <c r="S66" s="171">
        <f t="shared" ref="S66:T66" si="44">SUM(S63:S65)</f>
        <v>0</v>
      </c>
      <c r="T66" s="171">
        <f t="shared" si="44"/>
        <v>0</v>
      </c>
      <c r="U66" s="171">
        <f t="shared" ref="U66" si="45">SUM(U63:U65)</f>
        <v>0</v>
      </c>
      <c r="V66" s="171">
        <f>SUM(V63:V65)</f>
        <v>0</v>
      </c>
      <c r="W66" s="171">
        <f>SUM(W63:W65)</f>
        <v>24922</v>
      </c>
      <c r="X66" s="171">
        <f>SUM(X63:X65)</f>
        <v>0</v>
      </c>
      <c r="Y66" s="171">
        <f>SUM(Y63:Y65)</f>
        <v>0</v>
      </c>
      <c r="Z66" s="171">
        <f t="shared" ref="Z66:AZ66" si="46">SUM(Z63:Z65)</f>
        <v>0</v>
      </c>
      <c r="AA66" s="171">
        <f t="shared" si="46"/>
        <v>0</v>
      </c>
      <c r="AB66" s="171">
        <f t="shared" si="46"/>
        <v>0</v>
      </c>
      <c r="AC66" s="171">
        <f t="shared" si="46"/>
        <v>0</v>
      </c>
      <c r="AD66" s="171">
        <f t="shared" si="46"/>
        <v>0</v>
      </c>
      <c r="AE66" s="171">
        <f t="shared" si="46"/>
        <v>0</v>
      </c>
      <c r="AF66" s="171">
        <f t="shared" si="46"/>
        <v>0</v>
      </c>
      <c r="AG66" s="171">
        <f t="shared" si="46"/>
        <v>0</v>
      </c>
      <c r="AH66" s="171">
        <f t="shared" si="46"/>
        <v>0</v>
      </c>
      <c r="AI66" s="171">
        <f t="shared" si="46"/>
        <v>0</v>
      </c>
      <c r="AJ66" s="171">
        <f t="shared" si="46"/>
        <v>0</v>
      </c>
      <c r="AK66" s="171">
        <f t="shared" si="46"/>
        <v>0</v>
      </c>
      <c r="AL66" s="171">
        <f t="shared" si="46"/>
        <v>0</v>
      </c>
      <c r="AM66" s="171">
        <f t="shared" si="46"/>
        <v>12524</v>
      </c>
      <c r="AN66" s="171">
        <f t="shared" si="46"/>
        <v>46387</v>
      </c>
      <c r="AO66" s="171">
        <f t="shared" si="46"/>
        <v>15948</v>
      </c>
      <c r="AP66" s="171">
        <f t="shared" si="46"/>
        <v>0</v>
      </c>
      <c r="AQ66" s="171">
        <f t="shared" ref="AQ66" si="47">SUM(AQ63:AQ65)</f>
        <v>0</v>
      </c>
      <c r="AR66" s="171">
        <f t="shared" si="46"/>
        <v>0</v>
      </c>
      <c r="AS66" s="171">
        <f t="shared" si="46"/>
        <v>0</v>
      </c>
      <c r="AT66" s="171">
        <f t="shared" si="46"/>
        <v>0</v>
      </c>
      <c r="AU66" s="171">
        <f t="shared" si="46"/>
        <v>0</v>
      </c>
      <c r="AV66" s="171">
        <f t="shared" si="46"/>
        <v>0</v>
      </c>
      <c r="AW66" s="171">
        <f t="shared" si="46"/>
        <v>0</v>
      </c>
      <c r="AX66" s="171">
        <f t="shared" si="46"/>
        <v>0</v>
      </c>
      <c r="AY66" s="171">
        <f t="shared" si="46"/>
        <v>35550</v>
      </c>
      <c r="AZ66" s="171">
        <f t="shared" si="46"/>
        <v>0</v>
      </c>
    </row>
    <row r="67" spans="1:52" ht="12.75" customHeight="1">
      <c r="B67" s="154"/>
      <c r="C67" s="154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</row>
    <row r="68" spans="1:52">
      <c r="B68" s="154" t="s">
        <v>194</v>
      </c>
      <c r="C68" s="154"/>
      <c r="D68" s="154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</row>
    <row r="69" spans="1:52">
      <c r="A69" s="152">
        <v>36</v>
      </c>
      <c r="B69" s="154"/>
      <c r="C69" s="154" t="s">
        <v>42</v>
      </c>
      <c r="D69" s="154"/>
      <c r="E69" s="171">
        <f>'ADJ DETAIL INPUT'!E68</f>
        <v>-12363</v>
      </c>
      <c r="F69" s="171">
        <f>'ADJ DETAIL INPUT'!F68</f>
        <v>0</v>
      </c>
      <c r="G69" s="171">
        <f>'ADJ DETAIL INPUT'!G68</f>
        <v>0</v>
      </c>
      <c r="H69" s="171">
        <f>'ADJ DETAIL INPUT'!H68</f>
        <v>0</v>
      </c>
      <c r="I69" s="171">
        <f>'ADJ DETAIL INPUT'!I68</f>
        <v>0</v>
      </c>
      <c r="J69" s="171">
        <f>'ADJ DETAIL INPUT'!J68</f>
        <v>0</v>
      </c>
      <c r="K69" s="171">
        <f>'ADJ DETAIL INPUT'!K68</f>
        <v>0</v>
      </c>
      <c r="L69" s="171">
        <f>'ADJ DETAIL INPUT'!L68</f>
        <v>0</v>
      </c>
      <c r="M69" s="171">
        <f>'ADJ DETAIL INPUT'!M68</f>
        <v>0</v>
      </c>
      <c r="N69" s="171">
        <f>'ADJ DETAIL INPUT'!N68</f>
        <v>0</v>
      </c>
      <c r="O69" s="171">
        <f>'ADJ DETAIL INPUT'!O68</f>
        <v>0</v>
      </c>
      <c r="P69" s="171">
        <f>'ADJ DETAIL INPUT'!P68</f>
        <v>0</v>
      </c>
      <c r="Q69" s="171">
        <f>'ADJ DETAIL INPUT'!Q68</f>
        <v>0</v>
      </c>
      <c r="R69" s="171">
        <f>'ADJ DETAIL INPUT'!R68</f>
        <v>0</v>
      </c>
      <c r="S69" s="171">
        <f>'ADJ DETAIL INPUT'!S68</f>
        <v>0</v>
      </c>
      <c r="T69" s="171">
        <f>'ADJ DETAIL INPUT'!T68</f>
        <v>0</v>
      </c>
      <c r="U69" s="171">
        <f>'ADJ DETAIL INPUT'!U68</f>
        <v>0</v>
      </c>
      <c r="V69" s="171">
        <f>'ADJ DETAIL INPUT'!V68</f>
        <v>0</v>
      </c>
      <c r="W69" s="171">
        <f>'ADJ DETAIL INPUT'!W68</f>
        <v>-233</v>
      </c>
      <c r="X69" s="171">
        <f>'ADJ DETAIL INPUT'!X68</f>
        <v>0</v>
      </c>
      <c r="Y69" s="171">
        <f>'ADJ DETAIL INPUT'!AA68</f>
        <v>0</v>
      </c>
      <c r="Z69" s="171">
        <f>'ADJ DETAIL INPUT'!AB68</f>
        <v>0</v>
      </c>
      <c r="AA69" s="171">
        <f>'ADJ DETAIL INPUT'!AC68</f>
        <v>0</v>
      </c>
      <c r="AB69" s="171">
        <f>'ADJ DETAIL INPUT'!AD68</f>
        <v>0</v>
      </c>
      <c r="AC69" s="171">
        <f>'ADJ DETAIL INPUT'!AE68</f>
        <v>0</v>
      </c>
      <c r="AD69" s="171">
        <f>'ADJ DETAIL INPUT'!AF68</f>
        <v>0</v>
      </c>
      <c r="AE69" s="171">
        <f>'ADJ DETAIL INPUT'!AG68</f>
        <v>0</v>
      </c>
      <c r="AF69" s="171">
        <f>'ADJ DETAIL INPUT'!AH68</f>
        <v>0</v>
      </c>
      <c r="AG69" s="171">
        <f>'ADJ DETAIL INPUT'!AI68</f>
        <v>0</v>
      </c>
      <c r="AH69" s="171">
        <f>'ADJ DETAIL INPUT'!AJ68</f>
        <v>0</v>
      </c>
      <c r="AI69" s="171">
        <f>'ADJ DETAIL INPUT'!AK68</f>
        <v>0</v>
      </c>
      <c r="AJ69" s="171">
        <f>'ADJ DETAIL INPUT'!AL68</f>
        <v>0</v>
      </c>
      <c r="AK69" s="171">
        <f>'ADJ DETAIL INPUT'!AM68</f>
        <v>0</v>
      </c>
      <c r="AL69" s="171">
        <f>'ADJ DETAIL INPUT'!AN68</f>
        <v>0</v>
      </c>
      <c r="AM69" s="171">
        <f>'ADJ DETAIL INPUT'!AO68</f>
        <v>-120</v>
      </c>
      <c r="AN69" s="171">
        <f>'ADJ DETAIL INPUT'!AP68</f>
        <v>-493</v>
      </c>
      <c r="AO69" s="171">
        <f>'ADJ DETAIL INPUT'!AQ68</f>
        <v>-255</v>
      </c>
      <c r="AP69" s="171">
        <f>'ADJ DETAIL INPUT'!AR68</f>
        <v>0</v>
      </c>
      <c r="AQ69" s="171">
        <f>'ADJ DETAIL INPUT'!AV68</f>
        <v>0</v>
      </c>
      <c r="AR69" s="171">
        <f>'ADJ DETAIL INPUT'!AW68</f>
        <v>0</v>
      </c>
      <c r="AS69" s="171">
        <f>'ADJ DETAIL INPUT'!AX68</f>
        <v>0</v>
      </c>
      <c r="AT69" s="171">
        <f>'ADJ DETAIL INPUT'!AY68</f>
        <v>0</v>
      </c>
      <c r="AU69" s="171">
        <f>'ADJ DETAIL INPUT'!AZ68</f>
        <v>0</v>
      </c>
      <c r="AV69" s="171">
        <f>'ADJ DETAIL INPUT'!BA68</f>
        <v>0</v>
      </c>
      <c r="AW69" s="171">
        <f>'ADJ DETAIL INPUT'!BB68</f>
        <v>0</v>
      </c>
      <c r="AX69" s="171">
        <f>'ADJ DETAIL INPUT'!BC68</f>
        <v>0</v>
      </c>
      <c r="AY69" s="171">
        <f>'ADJ DETAIL INPUT'!BD68</f>
        <v>-523</v>
      </c>
      <c r="AZ69" s="171">
        <f>'ADJ DETAIL INPUT'!BE68</f>
        <v>0</v>
      </c>
    </row>
    <row r="70" spans="1:52">
      <c r="A70" s="152">
        <v>37</v>
      </c>
      <c r="B70" s="154"/>
      <c r="C70" s="154" t="s">
        <v>61</v>
      </c>
      <c r="D70" s="154"/>
      <c r="E70" s="171">
        <f>'ADJ DETAIL INPUT'!E69</f>
        <v>-161309</v>
      </c>
      <c r="F70" s="171">
        <f>'ADJ DETAIL INPUT'!F69</f>
        <v>0</v>
      </c>
      <c r="G70" s="171">
        <f>'ADJ DETAIL INPUT'!G69</f>
        <v>0</v>
      </c>
      <c r="H70" s="171">
        <f>'ADJ DETAIL INPUT'!H69</f>
        <v>0</v>
      </c>
      <c r="I70" s="171">
        <f>'ADJ DETAIL INPUT'!I69</f>
        <v>0</v>
      </c>
      <c r="J70" s="171">
        <f>'ADJ DETAIL INPUT'!J69</f>
        <v>0</v>
      </c>
      <c r="K70" s="171">
        <f>'ADJ DETAIL INPUT'!K69</f>
        <v>0</v>
      </c>
      <c r="L70" s="171">
        <f>'ADJ DETAIL INPUT'!L69</f>
        <v>0</v>
      </c>
      <c r="M70" s="171">
        <f>'ADJ DETAIL INPUT'!M69</f>
        <v>0</v>
      </c>
      <c r="N70" s="171">
        <f>'ADJ DETAIL INPUT'!N69</f>
        <v>0</v>
      </c>
      <c r="O70" s="171">
        <f>'ADJ DETAIL INPUT'!O69</f>
        <v>0</v>
      </c>
      <c r="P70" s="171">
        <f>'ADJ DETAIL INPUT'!P69</f>
        <v>0</v>
      </c>
      <c r="Q70" s="171">
        <f>'ADJ DETAIL INPUT'!Q69</f>
        <v>0</v>
      </c>
      <c r="R70" s="171">
        <f>'ADJ DETAIL INPUT'!R69</f>
        <v>0</v>
      </c>
      <c r="S70" s="171">
        <f>'ADJ DETAIL INPUT'!S69</f>
        <v>0</v>
      </c>
      <c r="T70" s="171">
        <f>'ADJ DETAIL INPUT'!T69</f>
        <v>0</v>
      </c>
      <c r="U70" s="171">
        <f>'ADJ DETAIL INPUT'!U69</f>
        <v>0</v>
      </c>
      <c r="V70" s="171">
        <f>'ADJ DETAIL INPUT'!V69</f>
        <v>0</v>
      </c>
      <c r="W70" s="171">
        <f>'ADJ DETAIL INPUT'!W69</f>
        <v>-5546</v>
      </c>
      <c r="X70" s="171">
        <f>'ADJ DETAIL INPUT'!X69</f>
        <v>0</v>
      </c>
      <c r="Y70" s="171">
        <f>'ADJ DETAIL INPUT'!AA69</f>
        <v>0</v>
      </c>
      <c r="Z70" s="171">
        <f>'ADJ DETAIL INPUT'!AB69</f>
        <v>0</v>
      </c>
      <c r="AA70" s="171">
        <f>'ADJ DETAIL INPUT'!AC69</f>
        <v>0</v>
      </c>
      <c r="AB70" s="171">
        <f>'ADJ DETAIL INPUT'!AD69</f>
        <v>0</v>
      </c>
      <c r="AC70" s="171">
        <f>'ADJ DETAIL INPUT'!AE69</f>
        <v>0</v>
      </c>
      <c r="AD70" s="171">
        <f>'ADJ DETAIL INPUT'!AF69</f>
        <v>0</v>
      </c>
      <c r="AE70" s="171">
        <f>'ADJ DETAIL INPUT'!AG69</f>
        <v>0</v>
      </c>
      <c r="AF70" s="171">
        <f>'ADJ DETAIL INPUT'!AH69</f>
        <v>0</v>
      </c>
      <c r="AG70" s="171">
        <f>'ADJ DETAIL INPUT'!AI69</f>
        <v>0</v>
      </c>
      <c r="AH70" s="171">
        <f>'ADJ DETAIL INPUT'!AJ69</f>
        <v>0</v>
      </c>
      <c r="AI70" s="171">
        <f>'ADJ DETAIL INPUT'!AK69</f>
        <v>0</v>
      </c>
      <c r="AJ70" s="171">
        <f>'ADJ DETAIL INPUT'!AL69</f>
        <v>0</v>
      </c>
      <c r="AK70" s="171">
        <f>'ADJ DETAIL INPUT'!AM69</f>
        <v>0</v>
      </c>
      <c r="AL70" s="171">
        <f>'ADJ DETAIL INPUT'!AN69</f>
        <v>0</v>
      </c>
      <c r="AM70" s="171">
        <f>'ADJ DETAIL INPUT'!AO69</f>
        <v>-2943</v>
      </c>
      <c r="AN70" s="171">
        <f>'ADJ DETAIL INPUT'!AP69</f>
        <v>-11723</v>
      </c>
      <c r="AO70" s="171">
        <f>'ADJ DETAIL INPUT'!AQ69</f>
        <v>-6922</v>
      </c>
      <c r="AP70" s="171">
        <f>'ADJ DETAIL INPUT'!AR69</f>
        <v>0</v>
      </c>
      <c r="AQ70" s="171">
        <f>'ADJ DETAIL INPUT'!AV69</f>
        <v>0</v>
      </c>
      <c r="AR70" s="171">
        <f>'ADJ DETAIL INPUT'!AW69</f>
        <v>0</v>
      </c>
      <c r="AS70" s="171">
        <f>'ADJ DETAIL INPUT'!AX69</f>
        <v>0</v>
      </c>
      <c r="AT70" s="171">
        <f>'ADJ DETAIL INPUT'!AY69</f>
        <v>0</v>
      </c>
      <c r="AU70" s="171">
        <f>'ADJ DETAIL INPUT'!AZ69</f>
        <v>0</v>
      </c>
      <c r="AV70" s="171">
        <f>'ADJ DETAIL INPUT'!BA69</f>
        <v>0</v>
      </c>
      <c r="AW70" s="171">
        <f>'ADJ DETAIL INPUT'!BB69</f>
        <v>0</v>
      </c>
      <c r="AX70" s="171">
        <f>'ADJ DETAIL INPUT'!BC69</f>
        <v>0</v>
      </c>
      <c r="AY70" s="171">
        <f>'ADJ DETAIL INPUT'!BD69</f>
        <v>-14094</v>
      </c>
      <c r="AZ70" s="171">
        <f>'ADJ DETAIL INPUT'!BE69</f>
        <v>0</v>
      </c>
    </row>
    <row r="71" spans="1:52">
      <c r="A71" s="152">
        <v>38</v>
      </c>
      <c r="B71" s="154"/>
      <c r="C71" s="154" t="s">
        <v>62</v>
      </c>
      <c r="D71" s="154"/>
      <c r="E71" s="172">
        <f>'ADJ DETAIL INPUT'!E70</f>
        <v>-52407</v>
      </c>
      <c r="F71" s="172">
        <f>'ADJ DETAIL INPUT'!F70</f>
        <v>0</v>
      </c>
      <c r="G71" s="172">
        <f>'ADJ DETAIL INPUT'!G70</f>
        <v>0</v>
      </c>
      <c r="H71" s="172">
        <f>'ADJ DETAIL INPUT'!H70</f>
        <v>0</v>
      </c>
      <c r="I71" s="172">
        <f>'ADJ DETAIL INPUT'!I70</f>
        <v>0</v>
      </c>
      <c r="J71" s="172">
        <f>'ADJ DETAIL INPUT'!J70</f>
        <v>0</v>
      </c>
      <c r="K71" s="172">
        <f>'ADJ DETAIL INPUT'!K70</f>
        <v>0</v>
      </c>
      <c r="L71" s="172">
        <f>'ADJ DETAIL INPUT'!L70</f>
        <v>0</v>
      </c>
      <c r="M71" s="172">
        <f>'ADJ DETAIL INPUT'!M70</f>
        <v>0</v>
      </c>
      <c r="N71" s="172">
        <f>'ADJ DETAIL INPUT'!N70</f>
        <v>0</v>
      </c>
      <c r="O71" s="172">
        <f>'ADJ DETAIL INPUT'!O70</f>
        <v>0</v>
      </c>
      <c r="P71" s="172">
        <f>'ADJ DETAIL INPUT'!P70</f>
        <v>0</v>
      </c>
      <c r="Q71" s="172">
        <f>'ADJ DETAIL INPUT'!Q70</f>
        <v>0</v>
      </c>
      <c r="R71" s="172">
        <f>'ADJ DETAIL INPUT'!R70</f>
        <v>0</v>
      </c>
      <c r="S71" s="172">
        <f>'ADJ DETAIL INPUT'!S70</f>
        <v>0</v>
      </c>
      <c r="T71" s="172">
        <f>'ADJ DETAIL INPUT'!T70</f>
        <v>0</v>
      </c>
      <c r="U71" s="172">
        <f>'ADJ DETAIL INPUT'!U70</f>
        <v>0</v>
      </c>
      <c r="V71" s="172">
        <f>'ADJ DETAIL INPUT'!V70</f>
        <v>0</v>
      </c>
      <c r="W71" s="172">
        <f>'ADJ DETAIL INPUT'!W70</f>
        <v>-4044</v>
      </c>
      <c r="X71" s="172">
        <f>'ADJ DETAIL INPUT'!X70</f>
        <v>0</v>
      </c>
      <c r="Y71" s="172">
        <f>'ADJ DETAIL INPUT'!AA70</f>
        <v>0</v>
      </c>
      <c r="Z71" s="172">
        <f>'ADJ DETAIL INPUT'!AB70</f>
        <v>0</v>
      </c>
      <c r="AA71" s="172">
        <f>'ADJ DETAIL INPUT'!AC70</f>
        <v>0</v>
      </c>
      <c r="AB71" s="172">
        <f>'ADJ DETAIL INPUT'!AD70</f>
        <v>-4097</v>
      </c>
      <c r="AC71" s="172">
        <f>'ADJ DETAIL INPUT'!AE70</f>
        <v>0</v>
      </c>
      <c r="AD71" s="172">
        <f>'ADJ DETAIL INPUT'!AF70</f>
        <v>0</v>
      </c>
      <c r="AE71" s="172">
        <f>'ADJ DETAIL INPUT'!AG70</f>
        <v>0</v>
      </c>
      <c r="AF71" s="172">
        <f>'ADJ DETAIL INPUT'!AH70</f>
        <v>0</v>
      </c>
      <c r="AG71" s="172">
        <f>'ADJ DETAIL INPUT'!AI70</f>
        <v>0</v>
      </c>
      <c r="AH71" s="172">
        <f>'ADJ DETAIL INPUT'!AJ70</f>
        <v>0</v>
      </c>
      <c r="AI71" s="172">
        <f>'ADJ DETAIL INPUT'!AK70</f>
        <v>0</v>
      </c>
      <c r="AJ71" s="172">
        <f>'ADJ DETAIL INPUT'!AL70</f>
        <v>0</v>
      </c>
      <c r="AK71" s="172">
        <f>'ADJ DETAIL INPUT'!AM70</f>
        <v>0</v>
      </c>
      <c r="AL71" s="172">
        <f>'ADJ DETAIL INPUT'!AN70</f>
        <v>0</v>
      </c>
      <c r="AM71" s="172">
        <f>'ADJ DETAIL INPUT'!AO70</f>
        <v>-1279</v>
      </c>
      <c r="AN71" s="172">
        <f>'ADJ DETAIL INPUT'!AP70</f>
        <v>-3138</v>
      </c>
      <c r="AO71" s="172">
        <f>'ADJ DETAIL INPUT'!AQ70</f>
        <v>-2896</v>
      </c>
      <c r="AP71" s="172">
        <f>'ADJ DETAIL INPUT'!AR70</f>
        <v>0</v>
      </c>
      <c r="AQ71" s="172">
        <f>'ADJ DETAIL INPUT'!AV70</f>
        <v>0</v>
      </c>
      <c r="AR71" s="172">
        <f>'ADJ DETAIL INPUT'!AW70</f>
        <v>0</v>
      </c>
      <c r="AS71" s="172">
        <f>'ADJ DETAIL INPUT'!AX70</f>
        <v>0</v>
      </c>
      <c r="AT71" s="172">
        <f>'ADJ DETAIL INPUT'!AY70</f>
        <v>0</v>
      </c>
      <c r="AU71" s="172">
        <f>'ADJ DETAIL INPUT'!AZ70</f>
        <v>0</v>
      </c>
      <c r="AV71" s="172">
        <f>'ADJ DETAIL INPUT'!BA70</f>
        <v>0</v>
      </c>
      <c r="AW71" s="172">
        <f>'ADJ DETAIL INPUT'!BB70</f>
        <v>0</v>
      </c>
      <c r="AX71" s="172">
        <f>'ADJ DETAIL INPUT'!BC70</f>
        <v>0</v>
      </c>
      <c r="AY71" s="172">
        <f>'ADJ DETAIL INPUT'!BD70</f>
        <v>-194</v>
      </c>
      <c r="AZ71" s="172">
        <f>'ADJ DETAIL INPUT'!BE70</f>
        <v>0</v>
      </c>
    </row>
    <row r="72" spans="1:52">
      <c r="A72" s="152">
        <v>39</v>
      </c>
      <c r="B72" s="154" t="s">
        <v>383</v>
      </c>
      <c r="C72" s="154"/>
      <c r="E72" s="174">
        <f>SUM(E69:E71)</f>
        <v>-226079</v>
      </c>
      <c r="F72" s="174">
        <f t="shared" ref="F72:R72" si="48">SUM(F69:F71)</f>
        <v>0</v>
      </c>
      <c r="G72" s="174">
        <f t="shared" si="48"/>
        <v>0</v>
      </c>
      <c r="H72" s="174">
        <f t="shared" si="48"/>
        <v>0</v>
      </c>
      <c r="I72" s="174">
        <f t="shared" si="48"/>
        <v>0</v>
      </c>
      <c r="J72" s="174">
        <f t="shared" si="48"/>
        <v>0</v>
      </c>
      <c r="K72" s="174">
        <f t="shared" si="48"/>
        <v>0</v>
      </c>
      <c r="L72" s="174">
        <f t="shared" si="48"/>
        <v>0</v>
      </c>
      <c r="M72" s="174">
        <f t="shared" si="48"/>
        <v>0</v>
      </c>
      <c r="N72" s="174">
        <f t="shared" si="48"/>
        <v>0</v>
      </c>
      <c r="O72" s="174">
        <f t="shared" si="48"/>
        <v>0</v>
      </c>
      <c r="P72" s="174">
        <f t="shared" si="48"/>
        <v>0</v>
      </c>
      <c r="Q72" s="174">
        <f t="shared" si="48"/>
        <v>0</v>
      </c>
      <c r="R72" s="174">
        <f t="shared" si="48"/>
        <v>0</v>
      </c>
      <c r="S72" s="174">
        <f t="shared" ref="S72:T72" si="49">SUM(S69:S71)</f>
        <v>0</v>
      </c>
      <c r="T72" s="174">
        <f t="shared" si="49"/>
        <v>0</v>
      </c>
      <c r="U72" s="174">
        <f t="shared" ref="U72" si="50">SUM(U69:U71)</f>
        <v>0</v>
      </c>
      <c r="V72" s="174">
        <f>SUM(V69:V71)</f>
        <v>0</v>
      </c>
      <c r="W72" s="174">
        <f>SUM(W69:W71)</f>
        <v>-9823</v>
      </c>
      <c r="X72" s="174">
        <f>SUM(X69:X71)</f>
        <v>0</v>
      </c>
      <c r="Y72" s="174">
        <f>SUM(Y69:Y71)</f>
        <v>0</v>
      </c>
      <c r="Z72" s="174">
        <f t="shared" ref="Z72:AZ72" si="51">SUM(Z69:Z71)</f>
        <v>0</v>
      </c>
      <c r="AA72" s="174">
        <f t="shared" si="51"/>
        <v>0</v>
      </c>
      <c r="AB72" s="174">
        <f t="shared" si="51"/>
        <v>-4097</v>
      </c>
      <c r="AC72" s="174">
        <f t="shared" si="51"/>
        <v>0</v>
      </c>
      <c r="AD72" s="174">
        <f t="shared" si="51"/>
        <v>0</v>
      </c>
      <c r="AE72" s="174">
        <f t="shared" si="51"/>
        <v>0</v>
      </c>
      <c r="AF72" s="174">
        <f t="shared" si="51"/>
        <v>0</v>
      </c>
      <c r="AG72" s="174">
        <f t="shared" si="51"/>
        <v>0</v>
      </c>
      <c r="AH72" s="174">
        <f t="shared" si="51"/>
        <v>0</v>
      </c>
      <c r="AI72" s="174">
        <f t="shared" si="51"/>
        <v>0</v>
      </c>
      <c r="AJ72" s="174">
        <f t="shared" si="51"/>
        <v>0</v>
      </c>
      <c r="AK72" s="174">
        <f t="shared" si="51"/>
        <v>0</v>
      </c>
      <c r="AL72" s="174">
        <f t="shared" si="51"/>
        <v>0</v>
      </c>
      <c r="AM72" s="174">
        <f t="shared" si="51"/>
        <v>-4342</v>
      </c>
      <c r="AN72" s="174">
        <f t="shared" si="51"/>
        <v>-15354</v>
      </c>
      <c r="AO72" s="174">
        <f t="shared" si="51"/>
        <v>-10073</v>
      </c>
      <c r="AP72" s="174">
        <f t="shared" si="51"/>
        <v>0</v>
      </c>
      <c r="AQ72" s="174">
        <f t="shared" ref="AQ72" si="52">SUM(AQ69:AQ71)</f>
        <v>0</v>
      </c>
      <c r="AR72" s="174">
        <f t="shared" si="51"/>
        <v>0</v>
      </c>
      <c r="AS72" s="174">
        <f t="shared" si="51"/>
        <v>0</v>
      </c>
      <c r="AT72" s="174">
        <f t="shared" si="51"/>
        <v>0</v>
      </c>
      <c r="AU72" s="174">
        <f t="shared" si="51"/>
        <v>0</v>
      </c>
      <c r="AV72" s="174">
        <f t="shared" si="51"/>
        <v>0</v>
      </c>
      <c r="AW72" s="174">
        <f t="shared" si="51"/>
        <v>0</v>
      </c>
      <c r="AX72" s="174">
        <f t="shared" si="51"/>
        <v>0</v>
      </c>
      <c r="AY72" s="174">
        <f t="shared" si="51"/>
        <v>-14811</v>
      </c>
      <c r="AZ72" s="174">
        <f t="shared" si="51"/>
        <v>0</v>
      </c>
    </row>
    <row r="73" spans="1:52">
      <c r="A73" s="152">
        <v>40</v>
      </c>
      <c r="B73" s="154" t="s">
        <v>167</v>
      </c>
      <c r="C73" s="154"/>
      <c r="D73" s="154"/>
      <c r="E73" s="175">
        <f>E66+E72</f>
        <v>535707</v>
      </c>
      <c r="F73" s="175">
        <f t="shared" ref="F73:R73" si="53">F66+F72</f>
        <v>0</v>
      </c>
      <c r="G73" s="175">
        <f t="shared" si="53"/>
        <v>0</v>
      </c>
      <c r="H73" s="175">
        <f t="shared" si="53"/>
        <v>0</v>
      </c>
      <c r="I73" s="175">
        <f t="shared" si="53"/>
        <v>0</v>
      </c>
      <c r="J73" s="175">
        <f t="shared" si="53"/>
        <v>0</v>
      </c>
      <c r="K73" s="175">
        <f t="shared" si="53"/>
        <v>0</v>
      </c>
      <c r="L73" s="175">
        <f t="shared" si="53"/>
        <v>0</v>
      </c>
      <c r="M73" s="175">
        <f t="shared" si="53"/>
        <v>0</v>
      </c>
      <c r="N73" s="175">
        <f t="shared" si="53"/>
        <v>0</v>
      </c>
      <c r="O73" s="175">
        <f t="shared" si="53"/>
        <v>0</v>
      </c>
      <c r="P73" s="175">
        <f t="shared" si="53"/>
        <v>0</v>
      </c>
      <c r="Q73" s="175">
        <f t="shared" si="53"/>
        <v>0</v>
      </c>
      <c r="R73" s="175">
        <f t="shared" si="53"/>
        <v>0</v>
      </c>
      <c r="S73" s="175">
        <f t="shared" ref="S73:T73" si="54">S66+S72</f>
        <v>0</v>
      </c>
      <c r="T73" s="175">
        <f t="shared" si="54"/>
        <v>0</v>
      </c>
      <c r="U73" s="175">
        <f t="shared" ref="U73" si="55">U66+U72</f>
        <v>0</v>
      </c>
      <c r="V73" s="175">
        <f>V66+V72</f>
        <v>0</v>
      </c>
      <c r="W73" s="175">
        <f>W66+W72</f>
        <v>15099</v>
      </c>
      <c r="X73" s="175">
        <f>X66+X72</f>
        <v>0</v>
      </c>
      <c r="Y73" s="175">
        <f>Y66+Y72</f>
        <v>0</v>
      </c>
      <c r="Z73" s="175">
        <f t="shared" ref="Z73:AZ73" si="56">Z66+Z72</f>
        <v>0</v>
      </c>
      <c r="AA73" s="175">
        <f t="shared" si="56"/>
        <v>0</v>
      </c>
      <c r="AB73" s="175">
        <f t="shared" si="56"/>
        <v>-4097</v>
      </c>
      <c r="AC73" s="175">
        <f t="shared" si="56"/>
        <v>0</v>
      </c>
      <c r="AD73" s="175">
        <f t="shared" si="56"/>
        <v>0</v>
      </c>
      <c r="AE73" s="175">
        <f t="shared" si="56"/>
        <v>0</v>
      </c>
      <c r="AF73" s="175">
        <f t="shared" si="56"/>
        <v>0</v>
      </c>
      <c r="AG73" s="175">
        <f t="shared" si="56"/>
        <v>0</v>
      </c>
      <c r="AH73" s="175">
        <f t="shared" si="56"/>
        <v>0</v>
      </c>
      <c r="AI73" s="175">
        <f t="shared" si="56"/>
        <v>0</v>
      </c>
      <c r="AJ73" s="175">
        <f t="shared" si="56"/>
        <v>0</v>
      </c>
      <c r="AK73" s="175">
        <f t="shared" si="56"/>
        <v>0</v>
      </c>
      <c r="AL73" s="175">
        <f t="shared" si="56"/>
        <v>0</v>
      </c>
      <c r="AM73" s="175">
        <f t="shared" si="56"/>
        <v>8182</v>
      </c>
      <c r="AN73" s="175">
        <f t="shared" si="56"/>
        <v>31033</v>
      </c>
      <c r="AO73" s="175">
        <f t="shared" si="56"/>
        <v>5875</v>
      </c>
      <c r="AP73" s="175">
        <f t="shared" si="56"/>
        <v>0</v>
      </c>
      <c r="AQ73" s="175">
        <f t="shared" ref="AQ73" si="57">AQ66+AQ72</f>
        <v>0</v>
      </c>
      <c r="AR73" s="175">
        <f t="shared" si="56"/>
        <v>0</v>
      </c>
      <c r="AS73" s="175">
        <f t="shared" si="56"/>
        <v>0</v>
      </c>
      <c r="AT73" s="175">
        <f t="shared" si="56"/>
        <v>0</v>
      </c>
      <c r="AU73" s="175">
        <f t="shared" si="56"/>
        <v>0</v>
      </c>
      <c r="AV73" s="175">
        <f t="shared" si="56"/>
        <v>0</v>
      </c>
      <c r="AW73" s="175">
        <f t="shared" si="56"/>
        <v>0</v>
      </c>
      <c r="AX73" s="175">
        <f t="shared" si="56"/>
        <v>0</v>
      </c>
      <c r="AY73" s="175">
        <f t="shared" si="56"/>
        <v>20739</v>
      </c>
      <c r="AZ73" s="175">
        <f t="shared" si="56"/>
        <v>0</v>
      </c>
    </row>
    <row r="74" spans="1:52" s="157" customFormat="1" ht="18.95" customHeight="1">
      <c r="A74" s="155">
        <v>41</v>
      </c>
      <c r="B74" s="156" t="s">
        <v>197</v>
      </c>
      <c r="C74" s="156"/>
      <c r="D74" s="156"/>
      <c r="E74" s="172">
        <f>'ADJ DETAIL INPUT'!E73</f>
        <v>-97558</v>
      </c>
      <c r="F74" s="172">
        <f>'ADJ DETAIL INPUT'!F73</f>
        <v>227</v>
      </c>
      <c r="G74" s="172">
        <f>'ADJ DETAIL INPUT'!G73</f>
        <v>0</v>
      </c>
      <c r="H74" s="172">
        <f>'ADJ DETAIL INPUT'!H73</f>
        <v>0</v>
      </c>
      <c r="I74" s="172">
        <f>'ADJ DETAIL INPUT'!I73</f>
        <v>0</v>
      </c>
      <c r="J74" s="172">
        <f>'ADJ DETAIL INPUT'!J73</f>
        <v>0</v>
      </c>
      <c r="K74" s="172">
        <f>'ADJ DETAIL INPUT'!K73</f>
        <v>0</v>
      </c>
      <c r="L74" s="172">
        <f>'ADJ DETAIL INPUT'!L73</f>
        <v>0</v>
      </c>
      <c r="M74" s="172">
        <f>'ADJ DETAIL INPUT'!M73</f>
        <v>0</v>
      </c>
      <c r="N74" s="172">
        <f>'ADJ DETAIL INPUT'!N73</f>
        <v>0</v>
      </c>
      <c r="O74" s="172">
        <f>'ADJ DETAIL INPUT'!O73</f>
        <v>0</v>
      </c>
      <c r="P74" s="172">
        <f>'ADJ DETAIL INPUT'!P73</f>
        <v>0</v>
      </c>
      <c r="Q74" s="172">
        <f>'ADJ DETAIL INPUT'!Q73</f>
        <v>0</v>
      </c>
      <c r="R74" s="172">
        <f>'ADJ DETAIL INPUT'!R73</f>
        <v>0</v>
      </c>
      <c r="S74" s="172">
        <f>'ADJ DETAIL INPUT'!S73</f>
        <v>0</v>
      </c>
      <c r="T74" s="172">
        <f>'ADJ DETAIL INPUT'!T73</f>
        <v>0</v>
      </c>
      <c r="U74" s="172">
        <f>'ADJ DETAIL INPUT'!U73</f>
        <v>0</v>
      </c>
      <c r="V74" s="172">
        <f>'ADJ DETAIL INPUT'!V73</f>
        <v>0</v>
      </c>
      <c r="W74" s="172">
        <f>'ADJ DETAIL INPUT'!W73</f>
        <v>11396</v>
      </c>
      <c r="X74" s="172">
        <f>'ADJ DETAIL INPUT'!X73</f>
        <v>0</v>
      </c>
      <c r="Y74" s="172">
        <f>'ADJ DETAIL INPUT'!AA73</f>
        <v>0</v>
      </c>
      <c r="Z74" s="172">
        <f>'ADJ DETAIL INPUT'!AB73</f>
        <v>0</v>
      </c>
      <c r="AA74" s="172">
        <f>'ADJ DETAIL INPUT'!AC73</f>
        <v>0</v>
      </c>
      <c r="AB74" s="172">
        <f>'ADJ DETAIL INPUT'!AD73</f>
        <v>0</v>
      </c>
      <c r="AC74" s="172">
        <f>'ADJ DETAIL INPUT'!AE73</f>
        <v>0</v>
      </c>
      <c r="AD74" s="172">
        <f>'ADJ DETAIL INPUT'!AF73</f>
        <v>0</v>
      </c>
      <c r="AE74" s="172">
        <f>'ADJ DETAIL INPUT'!AG73</f>
        <v>0</v>
      </c>
      <c r="AF74" s="172">
        <f>'ADJ DETAIL INPUT'!AH73</f>
        <v>0</v>
      </c>
      <c r="AG74" s="172">
        <f>'ADJ DETAIL INPUT'!AI73</f>
        <v>0</v>
      </c>
      <c r="AH74" s="172">
        <f>'ADJ DETAIL INPUT'!AJ73</f>
        <v>0</v>
      </c>
      <c r="AI74" s="172">
        <f>'ADJ DETAIL INPUT'!AK73</f>
        <v>0</v>
      </c>
      <c r="AJ74" s="172">
        <f>'ADJ DETAIL INPUT'!AL73</f>
        <v>0</v>
      </c>
      <c r="AK74" s="172">
        <f>'ADJ DETAIL INPUT'!AM73</f>
        <v>0</v>
      </c>
      <c r="AL74" s="172">
        <f>'ADJ DETAIL INPUT'!AN73</f>
        <v>0</v>
      </c>
      <c r="AM74" s="172">
        <f>'ADJ DETAIL INPUT'!AO73</f>
        <v>2566</v>
      </c>
      <c r="AN74" s="172">
        <f>'ADJ DETAIL INPUT'!AP73</f>
        <v>1006</v>
      </c>
      <c r="AO74" s="172">
        <f>'ADJ DETAIL INPUT'!AQ73</f>
        <v>712</v>
      </c>
      <c r="AP74" s="172">
        <f>'ADJ DETAIL INPUT'!AR73</f>
        <v>0</v>
      </c>
      <c r="AQ74" s="172">
        <f>'ADJ DETAIL INPUT'!AV73</f>
        <v>0</v>
      </c>
      <c r="AR74" s="172">
        <f>'ADJ DETAIL INPUT'!AW73</f>
        <v>0</v>
      </c>
      <c r="AS74" s="172">
        <f>'ADJ DETAIL INPUT'!AX73</f>
        <v>0</v>
      </c>
      <c r="AT74" s="172">
        <f>'ADJ DETAIL INPUT'!AY73</f>
        <v>0</v>
      </c>
      <c r="AU74" s="172">
        <f>'ADJ DETAIL INPUT'!AZ73</f>
        <v>0</v>
      </c>
      <c r="AV74" s="172">
        <f>'ADJ DETAIL INPUT'!BA73</f>
        <v>0</v>
      </c>
      <c r="AW74" s="172">
        <f>'ADJ DETAIL INPUT'!BB73</f>
        <v>0</v>
      </c>
      <c r="AX74" s="172">
        <f>'ADJ DETAIL INPUT'!BC73</f>
        <v>0</v>
      </c>
      <c r="AY74" s="172">
        <f>'ADJ DETAIL INPUT'!BD73</f>
        <v>1459</v>
      </c>
      <c r="AZ74" s="172">
        <f>'ADJ DETAIL INPUT'!BE73</f>
        <v>0</v>
      </c>
    </row>
    <row r="75" spans="1:52" s="157" customFormat="1" ht="18.95" customHeight="1">
      <c r="A75" s="155">
        <v>42</v>
      </c>
      <c r="B75" s="156" t="s">
        <v>195</v>
      </c>
      <c r="C75" s="156"/>
      <c r="D75" s="156"/>
      <c r="E75" s="175">
        <f>E73+E74</f>
        <v>438149</v>
      </c>
      <c r="F75" s="175">
        <f t="shared" ref="F75:R75" si="58">F73+F74</f>
        <v>227</v>
      </c>
      <c r="G75" s="175">
        <f t="shared" si="58"/>
        <v>0</v>
      </c>
      <c r="H75" s="175">
        <f t="shared" si="58"/>
        <v>0</v>
      </c>
      <c r="I75" s="175">
        <f t="shared" si="58"/>
        <v>0</v>
      </c>
      <c r="J75" s="175">
        <f t="shared" si="58"/>
        <v>0</v>
      </c>
      <c r="K75" s="175">
        <f t="shared" si="58"/>
        <v>0</v>
      </c>
      <c r="L75" s="175">
        <f t="shared" si="58"/>
        <v>0</v>
      </c>
      <c r="M75" s="175">
        <f t="shared" si="58"/>
        <v>0</v>
      </c>
      <c r="N75" s="175">
        <f t="shared" si="58"/>
        <v>0</v>
      </c>
      <c r="O75" s="175">
        <f t="shared" si="58"/>
        <v>0</v>
      </c>
      <c r="P75" s="175">
        <f t="shared" si="58"/>
        <v>0</v>
      </c>
      <c r="Q75" s="175">
        <f t="shared" si="58"/>
        <v>0</v>
      </c>
      <c r="R75" s="175">
        <f t="shared" si="58"/>
        <v>0</v>
      </c>
      <c r="S75" s="175">
        <f t="shared" ref="S75:T75" si="59">S73+S74</f>
        <v>0</v>
      </c>
      <c r="T75" s="175">
        <f t="shared" si="59"/>
        <v>0</v>
      </c>
      <c r="U75" s="175">
        <f t="shared" ref="U75" si="60">U73+U74</f>
        <v>0</v>
      </c>
      <c r="V75" s="175">
        <f>V73+V74</f>
        <v>0</v>
      </c>
      <c r="W75" s="175">
        <f>W73+W74</f>
        <v>26495</v>
      </c>
      <c r="X75" s="175">
        <f>X73+X74</f>
        <v>0</v>
      </c>
      <c r="Y75" s="175">
        <f>Y73+Y74</f>
        <v>0</v>
      </c>
      <c r="Z75" s="175">
        <f t="shared" ref="Z75:AZ75" si="61">Z73+Z74</f>
        <v>0</v>
      </c>
      <c r="AA75" s="175">
        <f t="shared" si="61"/>
        <v>0</v>
      </c>
      <c r="AB75" s="175">
        <f t="shared" si="61"/>
        <v>-4097</v>
      </c>
      <c r="AC75" s="175">
        <f t="shared" si="61"/>
        <v>0</v>
      </c>
      <c r="AD75" s="175">
        <f t="shared" si="61"/>
        <v>0</v>
      </c>
      <c r="AE75" s="175">
        <f t="shared" si="61"/>
        <v>0</v>
      </c>
      <c r="AF75" s="175">
        <f t="shared" si="61"/>
        <v>0</v>
      </c>
      <c r="AG75" s="175">
        <f t="shared" si="61"/>
        <v>0</v>
      </c>
      <c r="AH75" s="175">
        <f t="shared" si="61"/>
        <v>0</v>
      </c>
      <c r="AI75" s="175">
        <f t="shared" si="61"/>
        <v>0</v>
      </c>
      <c r="AJ75" s="175">
        <f t="shared" si="61"/>
        <v>0</v>
      </c>
      <c r="AK75" s="175">
        <f t="shared" si="61"/>
        <v>0</v>
      </c>
      <c r="AL75" s="175">
        <f t="shared" si="61"/>
        <v>0</v>
      </c>
      <c r="AM75" s="175">
        <f t="shared" si="61"/>
        <v>10748</v>
      </c>
      <c r="AN75" s="175">
        <f t="shared" si="61"/>
        <v>32039</v>
      </c>
      <c r="AO75" s="175">
        <f t="shared" si="61"/>
        <v>6587</v>
      </c>
      <c r="AP75" s="175">
        <f t="shared" si="61"/>
        <v>0</v>
      </c>
      <c r="AQ75" s="175">
        <f t="shared" ref="AQ75" si="62">AQ73+AQ74</f>
        <v>0</v>
      </c>
      <c r="AR75" s="175">
        <f t="shared" si="61"/>
        <v>0</v>
      </c>
      <c r="AS75" s="175">
        <f t="shared" si="61"/>
        <v>0</v>
      </c>
      <c r="AT75" s="175">
        <f t="shared" si="61"/>
        <v>0</v>
      </c>
      <c r="AU75" s="175">
        <f t="shared" si="61"/>
        <v>0</v>
      </c>
      <c r="AV75" s="175">
        <f t="shared" si="61"/>
        <v>0</v>
      </c>
      <c r="AW75" s="175">
        <f t="shared" si="61"/>
        <v>0</v>
      </c>
      <c r="AX75" s="175">
        <f t="shared" si="61"/>
        <v>0</v>
      </c>
      <c r="AY75" s="175">
        <f t="shared" si="61"/>
        <v>22198</v>
      </c>
      <c r="AZ75" s="175">
        <f t="shared" si="61"/>
        <v>0</v>
      </c>
    </row>
    <row r="76" spans="1:52">
      <c r="A76" s="152">
        <v>43</v>
      </c>
      <c r="B76" s="154" t="s">
        <v>66</v>
      </c>
      <c r="C76" s="154"/>
      <c r="D76" s="154"/>
      <c r="E76" s="171">
        <f>'ADJ DETAIL INPUT'!E75</f>
        <v>11642</v>
      </c>
      <c r="F76" s="171">
        <f>'ADJ DETAIL INPUT'!F75</f>
        <v>0</v>
      </c>
      <c r="G76" s="171">
        <f>'ADJ DETAIL INPUT'!G75</f>
        <v>0</v>
      </c>
      <c r="H76" s="171">
        <f>'ADJ DETAIL INPUT'!H75</f>
        <v>0</v>
      </c>
      <c r="I76" s="171">
        <f>'ADJ DETAIL INPUT'!I75</f>
        <v>0</v>
      </c>
      <c r="J76" s="171">
        <f>'ADJ DETAIL INPUT'!J75</f>
        <v>0</v>
      </c>
      <c r="K76" s="171">
        <f>'ADJ DETAIL INPUT'!K75</f>
        <v>0</v>
      </c>
      <c r="L76" s="171">
        <f>'ADJ DETAIL INPUT'!L75</f>
        <v>0</v>
      </c>
      <c r="M76" s="171">
        <f>'ADJ DETAIL INPUT'!M75</f>
        <v>0</v>
      </c>
      <c r="N76" s="171">
        <f>'ADJ DETAIL INPUT'!N75</f>
        <v>0</v>
      </c>
      <c r="O76" s="171">
        <f>'ADJ DETAIL INPUT'!O75</f>
        <v>0</v>
      </c>
      <c r="P76" s="171">
        <f>'ADJ DETAIL INPUT'!P75</f>
        <v>0</v>
      </c>
      <c r="Q76" s="171">
        <f>'ADJ DETAIL INPUT'!Q75</f>
        <v>0</v>
      </c>
      <c r="R76" s="171">
        <f>'ADJ DETAIL INPUT'!R75</f>
        <v>0</v>
      </c>
      <c r="S76" s="171">
        <f>'ADJ DETAIL INPUT'!S75</f>
        <v>0</v>
      </c>
      <c r="T76" s="171">
        <f>'ADJ DETAIL INPUT'!T75</f>
        <v>0</v>
      </c>
      <c r="U76" s="171">
        <f>'ADJ DETAIL INPUT'!U75</f>
        <v>0</v>
      </c>
      <c r="V76" s="171">
        <f>'ADJ DETAIL INPUT'!V75</f>
        <v>0</v>
      </c>
      <c r="W76" s="171">
        <f>'ADJ DETAIL INPUT'!W75</f>
        <v>0</v>
      </c>
      <c r="X76" s="171">
        <f>'ADJ DETAIL INPUT'!X75</f>
        <v>0</v>
      </c>
      <c r="Y76" s="171">
        <f>'ADJ DETAIL INPUT'!AA75</f>
        <v>0</v>
      </c>
      <c r="Z76" s="171">
        <f>'ADJ DETAIL INPUT'!AB75</f>
        <v>0</v>
      </c>
      <c r="AA76" s="171">
        <f>'ADJ DETAIL INPUT'!AC75</f>
        <v>0</v>
      </c>
      <c r="AB76" s="171">
        <f>'ADJ DETAIL INPUT'!AD75</f>
        <v>0</v>
      </c>
      <c r="AC76" s="171">
        <f>'ADJ DETAIL INPUT'!AE75</f>
        <v>0</v>
      </c>
      <c r="AD76" s="171">
        <f>'ADJ DETAIL INPUT'!AF75</f>
        <v>0</v>
      </c>
      <c r="AE76" s="171">
        <f>'ADJ DETAIL INPUT'!AG75</f>
        <v>0</v>
      </c>
      <c r="AF76" s="171">
        <f>'ADJ DETAIL INPUT'!AH75</f>
        <v>0</v>
      </c>
      <c r="AG76" s="171">
        <f>'ADJ DETAIL INPUT'!AI75</f>
        <v>0</v>
      </c>
      <c r="AH76" s="171">
        <f>'ADJ DETAIL INPUT'!AJ75</f>
        <v>0</v>
      </c>
      <c r="AI76" s="171">
        <f>'ADJ DETAIL INPUT'!AK75</f>
        <v>0</v>
      </c>
      <c r="AJ76" s="171">
        <f>'ADJ DETAIL INPUT'!AL75</f>
        <v>0</v>
      </c>
      <c r="AK76" s="171">
        <f>'ADJ DETAIL INPUT'!AM75</f>
        <v>0</v>
      </c>
      <c r="AL76" s="171">
        <f>'ADJ DETAIL INPUT'!AN75</f>
        <v>0</v>
      </c>
      <c r="AM76" s="171">
        <f>'ADJ DETAIL INPUT'!AO75</f>
        <v>0</v>
      </c>
      <c r="AN76" s="171">
        <f>'ADJ DETAIL INPUT'!AP75</f>
        <v>0</v>
      </c>
      <c r="AO76" s="171">
        <f>'ADJ DETAIL INPUT'!AQ75</f>
        <v>0</v>
      </c>
      <c r="AP76" s="171">
        <f>'ADJ DETAIL INPUT'!AR75</f>
        <v>0</v>
      </c>
      <c r="AQ76" s="171">
        <f>'ADJ DETAIL INPUT'!AV75</f>
        <v>0</v>
      </c>
      <c r="AR76" s="171">
        <f>'ADJ DETAIL INPUT'!AW75</f>
        <v>0</v>
      </c>
      <c r="AS76" s="171">
        <f>'ADJ DETAIL INPUT'!AX75</f>
        <v>0</v>
      </c>
      <c r="AT76" s="171">
        <f>'ADJ DETAIL INPUT'!AY75</f>
        <v>0</v>
      </c>
      <c r="AU76" s="171">
        <f>'ADJ DETAIL INPUT'!AZ75</f>
        <v>0</v>
      </c>
      <c r="AV76" s="171">
        <f>'ADJ DETAIL INPUT'!BA75</f>
        <v>0</v>
      </c>
      <c r="AW76" s="171">
        <f>'ADJ DETAIL INPUT'!BB75</f>
        <v>0</v>
      </c>
      <c r="AX76" s="171">
        <f>'ADJ DETAIL INPUT'!BC75</f>
        <v>0</v>
      </c>
      <c r="AY76" s="171">
        <f>'ADJ DETAIL INPUT'!BD75</f>
        <v>0</v>
      </c>
      <c r="AZ76" s="171">
        <f>'ADJ DETAIL INPUT'!BE75</f>
        <v>0</v>
      </c>
    </row>
    <row r="77" spans="1:52" s="157" customFormat="1">
      <c r="A77" s="155">
        <v>44</v>
      </c>
      <c r="B77" s="156" t="s">
        <v>67</v>
      </c>
      <c r="C77" s="156"/>
      <c r="D77" s="156"/>
      <c r="E77" s="171">
        <f>'ADJ DETAIL INPUT'!E76</f>
        <v>0</v>
      </c>
      <c r="F77" s="171">
        <f>'ADJ DETAIL INPUT'!F76</f>
        <v>0</v>
      </c>
      <c r="G77" s="171">
        <f>'ADJ DETAIL INPUT'!G76</f>
        <v>0</v>
      </c>
      <c r="H77" s="171">
        <f>'ADJ DETAIL INPUT'!H76</f>
        <v>0</v>
      </c>
      <c r="I77" s="171">
        <f>'ADJ DETAIL INPUT'!I76</f>
        <v>0</v>
      </c>
      <c r="J77" s="171">
        <f>'ADJ DETAIL INPUT'!J76</f>
        <v>0</v>
      </c>
      <c r="K77" s="171">
        <f>'ADJ DETAIL INPUT'!K76</f>
        <v>0</v>
      </c>
      <c r="L77" s="171">
        <f>'ADJ DETAIL INPUT'!L76</f>
        <v>0</v>
      </c>
      <c r="M77" s="171">
        <f>'ADJ DETAIL INPUT'!M76</f>
        <v>0</v>
      </c>
      <c r="N77" s="171">
        <f>'ADJ DETAIL INPUT'!N76</f>
        <v>0</v>
      </c>
      <c r="O77" s="171">
        <f>'ADJ DETAIL INPUT'!O76</f>
        <v>0</v>
      </c>
      <c r="P77" s="171">
        <f>'ADJ DETAIL INPUT'!P76</f>
        <v>0</v>
      </c>
      <c r="Q77" s="171">
        <f>'ADJ DETAIL INPUT'!Q76</f>
        <v>0</v>
      </c>
      <c r="R77" s="171">
        <f>'ADJ DETAIL INPUT'!R76</f>
        <v>0</v>
      </c>
      <c r="S77" s="171">
        <f>'ADJ DETAIL INPUT'!S76</f>
        <v>0</v>
      </c>
      <c r="T77" s="171">
        <f>'ADJ DETAIL INPUT'!T76</f>
        <v>0</v>
      </c>
      <c r="U77" s="171">
        <f>'ADJ DETAIL INPUT'!U76</f>
        <v>0</v>
      </c>
      <c r="V77" s="171">
        <f>'ADJ DETAIL INPUT'!V76</f>
        <v>0</v>
      </c>
      <c r="W77" s="171">
        <f>'ADJ DETAIL INPUT'!W76</f>
        <v>0</v>
      </c>
      <c r="X77" s="171">
        <f>'ADJ DETAIL INPUT'!X76</f>
        <v>0</v>
      </c>
      <c r="Y77" s="171">
        <f>'ADJ DETAIL INPUT'!AA76</f>
        <v>0</v>
      </c>
      <c r="Z77" s="171">
        <f>'ADJ DETAIL INPUT'!AB76</f>
        <v>0</v>
      </c>
      <c r="AA77" s="171">
        <f>'ADJ DETAIL INPUT'!AC76</f>
        <v>0</v>
      </c>
      <c r="AB77" s="171">
        <f>'ADJ DETAIL INPUT'!AD76</f>
        <v>0</v>
      </c>
      <c r="AC77" s="171">
        <f>'ADJ DETAIL INPUT'!AE76</f>
        <v>0</v>
      </c>
      <c r="AD77" s="171">
        <f>'ADJ DETAIL INPUT'!AF76</f>
        <v>0</v>
      </c>
      <c r="AE77" s="171">
        <f>'ADJ DETAIL INPUT'!AG76</f>
        <v>0</v>
      </c>
      <c r="AF77" s="171">
        <f>'ADJ DETAIL INPUT'!AH76</f>
        <v>0</v>
      </c>
      <c r="AG77" s="171">
        <f>'ADJ DETAIL INPUT'!AI76</f>
        <v>0</v>
      </c>
      <c r="AH77" s="171">
        <f>'ADJ DETAIL INPUT'!AJ76</f>
        <v>0</v>
      </c>
      <c r="AI77" s="171">
        <f>'ADJ DETAIL INPUT'!AK76</f>
        <v>0</v>
      </c>
      <c r="AJ77" s="171">
        <f>'ADJ DETAIL INPUT'!AL76</f>
        <v>0</v>
      </c>
      <c r="AK77" s="171">
        <f>'ADJ DETAIL INPUT'!AM76</f>
        <v>0</v>
      </c>
      <c r="AL77" s="171">
        <f>'ADJ DETAIL INPUT'!AN76</f>
        <v>0</v>
      </c>
      <c r="AM77" s="171">
        <f>'ADJ DETAIL INPUT'!AO76</f>
        <v>0</v>
      </c>
      <c r="AN77" s="171">
        <f>'ADJ DETAIL INPUT'!AP76</f>
        <v>0</v>
      </c>
      <c r="AO77" s="171">
        <f>'ADJ DETAIL INPUT'!AQ76</f>
        <v>0</v>
      </c>
      <c r="AP77" s="171">
        <f>'ADJ DETAIL INPUT'!AR76</f>
        <v>0</v>
      </c>
      <c r="AQ77" s="171">
        <f>'ADJ DETAIL INPUT'!AV76</f>
        <v>0</v>
      </c>
      <c r="AR77" s="171">
        <f>'ADJ DETAIL INPUT'!AW76</f>
        <v>0</v>
      </c>
      <c r="AS77" s="171">
        <f>'ADJ DETAIL INPUT'!AX76</f>
        <v>0</v>
      </c>
      <c r="AT77" s="171">
        <f>'ADJ DETAIL INPUT'!AY76</f>
        <v>0</v>
      </c>
      <c r="AU77" s="171">
        <f>'ADJ DETAIL INPUT'!AZ76</f>
        <v>0</v>
      </c>
      <c r="AV77" s="171">
        <f>'ADJ DETAIL INPUT'!BA76</f>
        <v>0</v>
      </c>
      <c r="AW77" s="171">
        <f>'ADJ DETAIL INPUT'!BB76</f>
        <v>0</v>
      </c>
      <c r="AX77" s="171">
        <f>'ADJ DETAIL INPUT'!BC76</f>
        <v>0</v>
      </c>
      <c r="AY77" s="171">
        <f>'ADJ DETAIL INPUT'!BD76</f>
        <v>0</v>
      </c>
      <c r="AZ77" s="171">
        <f>'ADJ DETAIL INPUT'!BE76</f>
        <v>0</v>
      </c>
    </row>
    <row r="78" spans="1:52" s="157" customFormat="1">
      <c r="A78" s="155">
        <v>45</v>
      </c>
      <c r="B78" s="156" t="s">
        <v>386</v>
      </c>
      <c r="C78" s="156"/>
      <c r="D78" s="156"/>
      <c r="E78" s="171">
        <f>'ADJ DETAIL INPUT'!E77</f>
        <v>-5644</v>
      </c>
      <c r="F78" s="171">
        <f>'ADJ DETAIL INPUT'!F77</f>
        <v>0</v>
      </c>
      <c r="G78" s="171">
        <f>'ADJ DETAIL INPUT'!G77</f>
        <v>1</v>
      </c>
      <c r="H78" s="171">
        <f>'ADJ DETAIL INPUT'!H77</f>
        <v>0</v>
      </c>
      <c r="I78" s="171">
        <f>'ADJ DETAIL INPUT'!I77</f>
        <v>0</v>
      </c>
      <c r="J78" s="171">
        <f>'ADJ DETAIL INPUT'!J77</f>
        <v>0</v>
      </c>
      <c r="K78" s="171">
        <f>'ADJ DETAIL INPUT'!K77</f>
        <v>0</v>
      </c>
      <c r="L78" s="171">
        <f>'ADJ DETAIL INPUT'!L77</f>
        <v>0</v>
      </c>
      <c r="M78" s="171">
        <f>'ADJ DETAIL INPUT'!M77</f>
        <v>0</v>
      </c>
      <c r="N78" s="171">
        <f>'ADJ DETAIL INPUT'!N77</f>
        <v>0</v>
      </c>
      <c r="O78" s="171">
        <f>'ADJ DETAIL INPUT'!O77</f>
        <v>0</v>
      </c>
      <c r="P78" s="171">
        <f>'ADJ DETAIL INPUT'!P77</f>
        <v>0</v>
      </c>
      <c r="Q78" s="171">
        <f>'ADJ DETAIL INPUT'!Q77</f>
        <v>0</v>
      </c>
      <c r="R78" s="171">
        <f>'ADJ DETAIL INPUT'!R77</f>
        <v>0</v>
      </c>
      <c r="S78" s="171">
        <f>'ADJ DETAIL INPUT'!S77</f>
        <v>0</v>
      </c>
      <c r="T78" s="171">
        <f>'ADJ DETAIL INPUT'!T77</f>
        <v>0</v>
      </c>
      <c r="U78" s="171">
        <f>'ADJ DETAIL INPUT'!U77</f>
        <v>0</v>
      </c>
      <c r="V78" s="171">
        <f>'ADJ DETAIL INPUT'!V77</f>
        <v>0</v>
      </c>
      <c r="W78" s="171">
        <f>'ADJ DETAIL INPUT'!W77</f>
        <v>0</v>
      </c>
      <c r="X78" s="171">
        <f>'ADJ DETAIL INPUT'!X77</f>
        <v>-12206</v>
      </c>
      <c r="Y78" s="171">
        <f>'ADJ DETAIL INPUT'!AA77</f>
        <v>0</v>
      </c>
      <c r="Z78" s="171">
        <f>'ADJ DETAIL INPUT'!AB77</f>
        <v>0</v>
      </c>
      <c r="AA78" s="171">
        <f>'ADJ DETAIL INPUT'!AC77</f>
        <v>0</v>
      </c>
      <c r="AB78" s="171">
        <f>'ADJ DETAIL INPUT'!AD77</f>
        <v>12714</v>
      </c>
      <c r="AC78" s="171">
        <f>'ADJ DETAIL INPUT'!AE77</f>
        <v>0</v>
      </c>
      <c r="AD78" s="171">
        <f>'ADJ DETAIL INPUT'!AF77</f>
        <v>-4202</v>
      </c>
      <c r="AE78" s="171">
        <f>'ADJ DETAIL INPUT'!AG77</f>
        <v>0</v>
      </c>
      <c r="AF78" s="171">
        <f>'ADJ DETAIL INPUT'!AH77</f>
        <v>0</v>
      </c>
      <c r="AG78" s="171">
        <f>'ADJ DETAIL INPUT'!AI77</f>
        <v>0</v>
      </c>
      <c r="AH78" s="171">
        <f>'ADJ DETAIL INPUT'!AJ77</f>
        <v>0</v>
      </c>
      <c r="AI78" s="171">
        <f>'ADJ DETAIL INPUT'!AK77</f>
        <v>0</v>
      </c>
      <c r="AJ78" s="171">
        <f>'ADJ DETAIL INPUT'!AL77</f>
        <v>0</v>
      </c>
      <c r="AK78" s="171">
        <f>'ADJ DETAIL INPUT'!AM77</f>
        <v>0</v>
      </c>
      <c r="AL78" s="171">
        <f>'ADJ DETAIL INPUT'!AN77</f>
        <v>0</v>
      </c>
      <c r="AM78" s="171">
        <f>'ADJ DETAIL INPUT'!AO77</f>
        <v>0</v>
      </c>
      <c r="AN78" s="171">
        <f>'ADJ DETAIL INPUT'!AP77</f>
        <v>0</v>
      </c>
      <c r="AO78" s="171">
        <f>'ADJ DETAIL INPUT'!AQ77</f>
        <v>0</v>
      </c>
      <c r="AP78" s="171">
        <f>'ADJ DETAIL INPUT'!AR77</f>
        <v>0</v>
      </c>
      <c r="AQ78" s="171">
        <f>'ADJ DETAIL INPUT'!AV77</f>
        <v>0</v>
      </c>
      <c r="AR78" s="171">
        <f>'ADJ DETAIL INPUT'!AW77</f>
        <v>-848</v>
      </c>
      <c r="AS78" s="171">
        <f>'ADJ DETAIL INPUT'!AX77</f>
        <v>0</v>
      </c>
      <c r="AT78" s="171">
        <f>'ADJ DETAIL INPUT'!AY77</f>
        <v>0</v>
      </c>
      <c r="AU78" s="171">
        <f>'ADJ DETAIL INPUT'!AZ77</f>
        <v>0</v>
      </c>
      <c r="AV78" s="171">
        <f>'ADJ DETAIL INPUT'!BA77</f>
        <v>0</v>
      </c>
      <c r="AW78" s="171">
        <f>'ADJ DETAIL INPUT'!BB77</f>
        <v>-1250</v>
      </c>
      <c r="AX78" s="171">
        <f>'ADJ DETAIL INPUT'!BC77</f>
        <v>0</v>
      </c>
      <c r="AY78" s="171">
        <f>'ADJ DETAIL INPUT'!BD77</f>
        <v>0</v>
      </c>
      <c r="AZ78" s="171">
        <f>'ADJ DETAIL INPUT'!BE77</f>
        <v>0</v>
      </c>
    </row>
    <row r="79" spans="1:52">
      <c r="A79" s="152">
        <v>46</v>
      </c>
      <c r="B79" s="154" t="s">
        <v>168</v>
      </c>
      <c r="C79" s="154"/>
      <c r="D79" s="154"/>
      <c r="E79" s="172">
        <f>'ADJ DETAIL INPUT'!E78</f>
        <v>2649</v>
      </c>
      <c r="F79" s="172">
        <f>'ADJ DETAIL INPUT'!F78</f>
        <v>0</v>
      </c>
      <c r="G79" s="172">
        <f>'ADJ DETAIL INPUT'!G78</f>
        <v>0</v>
      </c>
      <c r="H79" s="172">
        <f>'ADJ DETAIL INPUT'!H78</f>
        <v>-160</v>
      </c>
      <c r="I79" s="172">
        <f>'ADJ DETAIL INPUT'!I78</f>
        <v>0</v>
      </c>
      <c r="J79" s="172">
        <f>'ADJ DETAIL INPUT'!J78</f>
        <v>0</v>
      </c>
      <c r="K79" s="172">
        <f>'ADJ DETAIL INPUT'!K78</f>
        <v>0</v>
      </c>
      <c r="L79" s="172">
        <f>'ADJ DETAIL INPUT'!L78</f>
        <v>0</v>
      </c>
      <c r="M79" s="172">
        <f>'ADJ DETAIL INPUT'!M78</f>
        <v>0</v>
      </c>
      <c r="N79" s="172">
        <f>'ADJ DETAIL INPUT'!N78</f>
        <v>0</v>
      </c>
      <c r="O79" s="172">
        <f>'ADJ DETAIL INPUT'!O78</f>
        <v>0</v>
      </c>
      <c r="P79" s="172">
        <f>'ADJ DETAIL INPUT'!P78</f>
        <v>0</v>
      </c>
      <c r="Q79" s="172">
        <f>'ADJ DETAIL INPUT'!Q78</f>
        <v>0</v>
      </c>
      <c r="R79" s="172">
        <f>'ADJ DETAIL INPUT'!R78</f>
        <v>0</v>
      </c>
      <c r="S79" s="172">
        <f>'ADJ DETAIL INPUT'!S78</f>
        <v>0</v>
      </c>
      <c r="T79" s="172">
        <f>'ADJ DETAIL INPUT'!T78</f>
        <v>0</v>
      </c>
      <c r="U79" s="172">
        <f>'ADJ DETAIL INPUT'!U78</f>
        <v>0</v>
      </c>
      <c r="V79" s="172">
        <f>'ADJ DETAIL INPUT'!V78</f>
        <v>0</v>
      </c>
      <c r="W79" s="172">
        <f>'ADJ DETAIL INPUT'!W78</f>
        <v>0</v>
      </c>
      <c r="X79" s="172">
        <f>'ADJ DETAIL INPUT'!X78</f>
        <v>0</v>
      </c>
      <c r="Y79" s="172">
        <f>'ADJ DETAIL INPUT'!AA78</f>
        <v>0</v>
      </c>
      <c r="Z79" s="172">
        <f>'ADJ DETAIL INPUT'!AB78</f>
        <v>0</v>
      </c>
      <c r="AA79" s="172">
        <f>'ADJ DETAIL INPUT'!AC78</f>
        <v>0</v>
      </c>
      <c r="AB79" s="172">
        <f>'ADJ DETAIL INPUT'!AD78</f>
        <v>0</v>
      </c>
      <c r="AC79" s="172">
        <f>'ADJ DETAIL INPUT'!AE78</f>
        <v>0</v>
      </c>
      <c r="AD79" s="172">
        <f>'ADJ DETAIL INPUT'!AF78</f>
        <v>0</v>
      </c>
      <c r="AE79" s="172">
        <f>'ADJ DETAIL INPUT'!AG78</f>
        <v>0</v>
      </c>
      <c r="AF79" s="172">
        <f>'ADJ DETAIL INPUT'!AH78</f>
        <v>0</v>
      </c>
      <c r="AG79" s="172">
        <f>'ADJ DETAIL INPUT'!AI78</f>
        <v>0</v>
      </c>
      <c r="AH79" s="172">
        <f>'ADJ DETAIL INPUT'!AJ78</f>
        <v>0</v>
      </c>
      <c r="AI79" s="172">
        <f>'ADJ DETAIL INPUT'!AK78</f>
        <v>0</v>
      </c>
      <c r="AJ79" s="172">
        <f>'ADJ DETAIL INPUT'!AL78</f>
        <v>0</v>
      </c>
      <c r="AK79" s="172">
        <f>'ADJ DETAIL INPUT'!AM78</f>
        <v>0</v>
      </c>
      <c r="AL79" s="172">
        <f>'ADJ DETAIL INPUT'!AN78</f>
        <v>0</v>
      </c>
      <c r="AM79" s="172">
        <f>'ADJ DETAIL INPUT'!AO78</f>
        <v>0</v>
      </c>
      <c r="AN79" s="172">
        <f>'ADJ DETAIL INPUT'!AP78</f>
        <v>0</v>
      </c>
      <c r="AO79" s="172">
        <f>'ADJ DETAIL INPUT'!AQ78</f>
        <v>0</v>
      </c>
      <c r="AP79" s="172">
        <f>'ADJ DETAIL INPUT'!AR78</f>
        <v>0</v>
      </c>
      <c r="AQ79" s="172">
        <f>'ADJ DETAIL INPUT'!AV78</f>
        <v>0</v>
      </c>
      <c r="AR79" s="172">
        <f>'ADJ DETAIL INPUT'!AW78</f>
        <v>0</v>
      </c>
      <c r="AS79" s="172">
        <f>'ADJ DETAIL INPUT'!AX78</f>
        <v>0</v>
      </c>
      <c r="AT79" s="172">
        <f>'ADJ DETAIL INPUT'!AY78</f>
        <v>0</v>
      </c>
      <c r="AU79" s="172">
        <f>'ADJ DETAIL INPUT'!AZ78</f>
        <v>0</v>
      </c>
      <c r="AV79" s="172">
        <f>'ADJ DETAIL INPUT'!BA78</f>
        <v>0</v>
      </c>
      <c r="AW79" s="172">
        <f>'ADJ DETAIL INPUT'!BB78</f>
        <v>0</v>
      </c>
      <c r="AX79" s="172">
        <f>'ADJ DETAIL INPUT'!BC78</f>
        <v>0</v>
      </c>
      <c r="AY79" s="172">
        <f>'ADJ DETAIL INPUT'!BD78</f>
        <v>0</v>
      </c>
      <c r="AZ79" s="172">
        <f>'ADJ DETAIL INPUT'!BE78</f>
        <v>0</v>
      </c>
    </row>
    <row r="81" spans="1:52"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</row>
    <row r="82" spans="1:52" s="243" customFormat="1" ht="12.75" thickBot="1">
      <c r="A82" s="134">
        <v>47</v>
      </c>
      <c r="B82" s="243" t="s">
        <v>68</v>
      </c>
      <c r="E82" s="245">
        <f>E75+E76+E77+E79+E78</f>
        <v>446796</v>
      </c>
      <c r="F82" s="245">
        <f t="shared" ref="F82:R82" si="63">F75+F76+F77+F79+F78</f>
        <v>227</v>
      </c>
      <c r="G82" s="245">
        <f t="shared" si="63"/>
        <v>1</v>
      </c>
      <c r="H82" s="245">
        <f t="shared" si="63"/>
        <v>-160</v>
      </c>
      <c r="I82" s="245">
        <f t="shared" si="63"/>
        <v>0</v>
      </c>
      <c r="J82" s="245">
        <f t="shared" si="63"/>
        <v>0</v>
      </c>
      <c r="K82" s="245">
        <f t="shared" si="63"/>
        <v>0</v>
      </c>
      <c r="L82" s="245">
        <f t="shared" si="63"/>
        <v>0</v>
      </c>
      <c r="M82" s="245">
        <f t="shared" si="63"/>
        <v>0</v>
      </c>
      <c r="N82" s="245">
        <f t="shared" si="63"/>
        <v>0</v>
      </c>
      <c r="O82" s="245">
        <f t="shared" si="63"/>
        <v>0</v>
      </c>
      <c r="P82" s="245">
        <f t="shared" si="63"/>
        <v>0</v>
      </c>
      <c r="Q82" s="245">
        <f t="shared" si="63"/>
        <v>0</v>
      </c>
      <c r="R82" s="245">
        <f t="shared" si="63"/>
        <v>0</v>
      </c>
      <c r="S82" s="245">
        <f t="shared" ref="S82:T82" si="64">S75+S76+S77+S79+S78</f>
        <v>0</v>
      </c>
      <c r="T82" s="245">
        <f t="shared" si="64"/>
        <v>0</v>
      </c>
      <c r="U82" s="245">
        <f t="shared" ref="U82" si="65">U75+U76+U77+U79+U78</f>
        <v>0</v>
      </c>
      <c r="V82" s="245">
        <f>V75+V76+V77+V79+V78</f>
        <v>0</v>
      </c>
      <c r="W82" s="245">
        <f>W75+W76+W77+W79+W78</f>
        <v>26495</v>
      </c>
      <c r="X82" s="245">
        <f>X75+X76+X77+X79+X78</f>
        <v>-12206</v>
      </c>
      <c r="Y82" s="245">
        <f>Y75+Y76+Y77+Y79+Y78</f>
        <v>0</v>
      </c>
      <c r="Z82" s="245">
        <f t="shared" ref="Z82:AZ82" si="66">Z75+Z76+Z77+Z79+Z78</f>
        <v>0</v>
      </c>
      <c r="AA82" s="245">
        <f t="shared" si="66"/>
        <v>0</v>
      </c>
      <c r="AB82" s="245">
        <f t="shared" si="66"/>
        <v>8617</v>
      </c>
      <c r="AC82" s="245">
        <f t="shared" si="66"/>
        <v>0</v>
      </c>
      <c r="AD82" s="245">
        <f t="shared" si="66"/>
        <v>-4202</v>
      </c>
      <c r="AE82" s="245">
        <f t="shared" si="66"/>
        <v>0</v>
      </c>
      <c r="AF82" s="245">
        <f t="shared" si="66"/>
        <v>0</v>
      </c>
      <c r="AG82" s="245">
        <f t="shared" si="66"/>
        <v>0</v>
      </c>
      <c r="AH82" s="245">
        <f t="shared" si="66"/>
        <v>0</v>
      </c>
      <c r="AI82" s="245">
        <f t="shared" si="66"/>
        <v>0</v>
      </c>
      <c r="AJ82" s="245">
        <f t="shared" si="66"/>
        <v>0</v>
      </c>
      <c r="AK82" s="245">
        <f t="shared" si="66"/>
        <v>0</v>
      </c>
      <c r="AL82" s="245">
        <f t="shared" si="66"/>
        <v>0</v>
      </c>
      <c r="AM82" s="245">
        <f t="shared" si="66"/>
        <v>10748</v>
      </c>
      <c r="AN82" s="245">
        <f t="shared" si="66"/>
        <v>32039</v>
      </c>
      <c r="AO82" s="245">
        <f t="shared" si="66"/>
        <v>6587</v>
      </c>
      <c r="AP82" s="245">
        <f t="shared" si="66"/>
        <v>0</v>
      </c>
      <c r="AQ82" s="245">
        <f t="shared" ref="AQ82" si="67">AQ75+AQ76+AQ77+AQ79+AQ78</f>
        <v>0</v>
      </c>
      <c r="AR82" s="245">
        <f t="shared" si="66"/>
        <v>-848</v>
      </c>
      <c r="AS82" s="245">
        <f t="shared" si="66"/>
        <v>0</v>
      </c>
      <c r="AT82" s="245">
        <f t="shared" si="66"/>
        <v>0</v>
      </c>
      <c r="AU82" s="245">
        <f t="shared" si="66"/>
        <v>0</v>
      </c>
      <c r="AV82" s="245">
        <f t="shared" si="66"/>
        <v>0</v>
      </c>
      <c r="AW82" s="245">
        <f t="shared" si="66"/>
        <v>-1250</v>
      </c>
      <c r="AX82" s="245">
        <f t="shared" si="66"/>
        <v>0</v>
      </c>
      <c r="AY82" s="245">
        <f t="shared" si="66"/>
        <v>22198</v>
      </c>
      <c r="AZ82" s="245">
        <f t="shared" si="66"/>
        <v>0</v>
      </c>
    </row>
    <row r="83" spans="1:52" ht="18" customHeight="1" thickTop="1">
      <c r="E83" s="209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</row>
    <row r="84" spans="1:52"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</row>
    <row r="85" spans="1:52"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</row>
    <row r="86" spans="1:52" s="159" customFormat="1">
      <c r="A86" s="158"/>
      <c r="D86" s="160"/>
      <c r="E86" s="251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</row>
    <row r="87" spans="1:52" s="159" customFormat="1">
      <c r="A87" s="162"/>
      <c r="D87" s="160"/>
      <c r="E87" s="250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</row>
    <row r="88" spans="1:52" s="159" customFormat="1">
      <c r="A88" s="162"/>
      <c r="D88" s="160"/>
      <c r="E88" s="176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</row>
    <row r="89" spans="1:52" s="159" customFormat="1">
      <c r="A89" s="162"/>
      <c r="D89" s="160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</row>
    <row r="90" spans="1:52" s="159" customFormat="1">
      <c r="A90" s="162"/>
      <c r="D90" s="160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</row>
    <row r="91" spans="1:52" s="159" customFormat="1">
      <c r="A91" s="162"/>
      <c r="D91" s="160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</row>
    <row r="92" spans="1:52" s="159" customFormat="1">
      <c r="A92" s="158"/>
      <c r="D92" s="160"/>
      <c r="E92" s="161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</row>
    <row r="93" spans="1:52" s="159" customFormat="1">
      <c r="A93" s="162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</row>
    <row r="94" spans="1:52" s="159" customFormat="1">
      <c r="A94" s="162"/>
      <c r="D94" s="16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</row>
    <row r="95" spans="1:52" s="159" customFormat="1">
      <c r="A95" s="162"/>
      <c r="D95" s="160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</row>
    <row r="96" spans="1:52" s="159" customFormat="1">
      <c r="A96" s="162"/>
      <c r="D96" s="163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</row>
    <row r="97" spans="1:52" s="159" customFormat="1">
      <c r="A97" s="162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</row>
    <row r="98" spans="1:52" s="159" customFormat="1">
      <c r="A98" s="162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47" manualBreakCount="47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  <brk id="37" max="1048575" man="1"/>
    <brk id="38" max="1048575" man="1"/>
    <brk id="39" max="1048575" man="1"/>
    <brk id="40" max="1048575" man="1"/>
    <brk id="41" max="1048575" man="1"/>
    <brk id="43" max="1048575" man="1"/>
    <brk id="44" max="1048575" man="1"/>
    <brk id="45" max="1048575" man="1"/>
    <brk id="46" max="1048575" man="1"/>
    <brk id="47" max="1048575" man="1"/>
    <brk id="48" max="1048575" man="1"/>
    <brk id="49" max="1048575" man="1"/>
    <brk id="50" max="1048575" man="1"/>
    <brk id="51" max="1048575" man="1"/>
    <brk id="4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FF0000"/>
    <pageSetUpPr fitToPage="1"/>
  </sheetPr>
  <dimension ref="A1:AB80"/>
  <sheetViews>
    <sheetView workbookViewId="0">
      <selection activeCell="S34" sqref="S34"/>
    </sheetView>
  </sheetViews>
  <sheetFormatPr defaultColWidth="11.42578125" defaultRowHeight="12.75"/>
  <cols>
    <col min="1" max="1" width="8.5703125" style="11" customWidth="1"/>
    <col min="2" max="2" width="33" style="11" customWidth="1"/>
    <col min="3" max="3" width="4.42578125" style="11" customWidth="1"/>
    <col min="4" max="4" width="3.140625" style="11" customWidth="1"/>
    <col min="5" max="5" width="12.42578125" style="11" customWidth="1"/>
    <col min="6" max="6" width="11.42578125" style="11" customWidth="1"/>
    <col min="7" max="7" width="4.42578125" style="11" customWidth="1"/>
    <col min="8" max="9" width="11.42578125" style="11" customWidth="1"/>
    <col min="10" max="10" width="4.85546875" style="11" customWidth="1"/>
    <col min="11" max="12" width="11.42578125" style="11"/>
    <col min="13" max="13" width="4.42578125" style="11" customWidth="1"/>
    <col min="14" max="15" width="11.42578125" style="11"/>
    <col min="16" max="16" width="11.42578125" style="333"/>
    <col min="17" max="17" width="5.85546875" style="89" bestFit="1" customWidth="1"/>
    <col min="18" max="18" width="8.140625" style="333" customWidth="1"/>
    <col min="19" max="19" width="12.5703125" style="303" customWidth="1"/>
    <col min="20" max="20" width="11.42578125" style="303"/>
    <col min="21" max="21" width="11.42578125" style="576"/>
    <col min="22" max="28" width="11.42578125" style="330"/>
    <col min="29" max="16384" width="11.42578125" style="11"/>
  </cols>
  <sheetData>
    <row r="1" spans="1:28" ht="18.75">
      <c r="A1" s="1089" t="s">
        <v>451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249"/>
    </row>
    <row r="2" spans="1:28" ht="18.75">
      <c r="A2" s="1089" t="s">
        <v>112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249"/>
    </row>
    <row r="3" spans="1:28" ht="18.75">
      <c r="A3" s="1089" t="s">
        <v>165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249"/>
    </row>
    <row r="4" spans="1:28" s="22" customFormat="1" ht="18.75">
      <c r="A4" s="103"/>
      <c r="B4" s="103"/>
      <c r="C4" s="103"/>
      <c r="D4" s="103"/>
      <c r="E4" s="103"/>
      <c r="F4" s="103"/>
      <c r="H4" s="102"/>
      <c r="I4" s="103"/>
      <c r="J4" s="103"/>
      <c r="K4" s="103"/>
      <c r="L4" s="103"/>
      <c r="M4" s="103"/>
      <c r="N4" s="102"/>
      <c r="O4" s="102"/>
      <c r="P4" s="309"/>
      <c r="Q4" s="88"/>
      <c r="R4" s="309"/>
      <c r="S4" s="309"/>
      <c r="T4" s="309"/>
      <c r="U4" s="577"/>
      <c r="V4" s="309"/>
      <c r="W4" s="309"/>
      <c r="X4" s="309"/>
      <c r="Y4" s="309"/>
      <c r="Z4" s="309"/>
      <c r="AA4" s="303"/>
      <c r="AB4" s="303"/>
    </row>
    <row r="5" spans="1:28" ht="14.25">
      <c r="H5" s="110" t="s">
        <v>145</v>
      </c>
      <c r="S5" s="309"/>
      <c r="T5" s="309"/>
      <c r="U5" s="577"/>
      <c r="V5" s="309"/>
      <c r="W5" s="309"/>
      <c r="X5" s="309"/>
      <c r="Y5" s="309"/>
      <c r="Z5" s="309"/>
    </row>
    <row r="6" spans="1:28">
      <c r="S6" s="309"/>
      <c r="T6" s="309"/>
      <c r="U6" s="577"/>
      <c r="V6" s="309"/>
      <c r="W6" s="309"/>
      <c r="X6" s="309"/>
      <c r="Y6" s="309"/>
      <c r="Z6" s="309"/>
    </row>
    <row r="7" spans="1:28" s="22" customFormat="1">
      <c r="A7" s="11"/>
      <c r="B7" s="11"/>
      <c r="C7" s="11"/>
      <c r="D7" s="11"/>
      <c r="E7" s="11"/>
      <c r="F7" s="11"/>
      <c r="G7" s="11"/>
      <c r="I7" s="11"/>
      <c r="J7" s="11"/>
      <c r="K7" s="23"/>
      <c r="L7" s="1071" t="s">
        <v>159</v>
      </c>
      <c r="M7" s="1071"/>
      <c r="N7" s="1071"/>
      <c r="P7" s="309"/>
      <c r="Q7" s="88"/>
      <c r="R7" s="309"/>
      <c r="S7" s="309"/>
      <c r="T7" s="309"/>
      <c r="U7" s="577"/>
      <c r="V7" s="309"/>
      <c r="W7" s="309"/>
      <c r="X7" s="309"/>
      <c r="Y7" s="309"/>
      <c r="Z7" s="309"/>
      <c r="AA7" s="303"/>
      <c r="AB7" s="303"/>
    </row>
    <row r="8" spans="1:28" s="22" customFormat="1">
      <c r="A8" s="11"/>
      <c r="B8" s="11"/>
      <c r="C8" s="11"/>
      <c r="D8" s="11"/>
      <c r="E8" s="1090" t="s">
        <v>663</v>
      </c>
      <c r="F8" s="1090"/>
      <c r="G8" s="23"/>
      <c r="H8" s="1090"/>
      <c r="I8" s="1090"/>
      <c r="J8" s="11"/>
      <c r="K8" s="1071" t="s">
        <v>160</v>
      </c>
      <c r="L8" s="1071"/>
      <c r="N8" s="1071" t="s">
        <v>161</v>
      </c>
      <c r="O8" s="1071"/>
      <c r="P8" s="309"/>
      <c r="Q8" s="88"/>
      <c r="R8" s="309"/>
      <c r="S8" s="309"/>
      <c r="T8" s="309"/>
      <c r="U8" s="577"/>
      <c r="V8" s="309"/>
      <c r="W8" s="309"/>
      <c r="X8" s="309"/>
      <c r="Y8" s="309"/>
      <c r="Z8" s="309"/>
      <c r="AA8" s="303"/>
      <c r="AB8" s="303"/>
    </row>
    <row r="9" spans="1:28" s="22" customFormat="1">
      <c r="B9" s="11"/>
      <c r="C9" s="11"/>
      <c r="D9" s="11"/>
      <c r="E9" s="1073" t="s">
        <v>69</v>
      </c>
      <c r="F9" s="1073"/>
      <c r="G9" s="25"/>
      <c r="H9" s="1073" t="s">
        <v>69</v>
      </c>
      <c r="I9" s="1073"/>
      <c r="J9" s="11"/>
      <c r="K9" s="1073" t="s">
        <v>69</v>
      </c>
      <c r="L9" s="1073"/>
      <c r="N9" s="12" t="s">
        <v>162</v>
      </c>
      <c r="O9" s="12" t="s">
        <v>19</v>
      </c>
      <c r="P9" s="309"/>
      <c r="Q9" s="88"/>
      <c r="R9" s="309"/>
      <c r="S9" s="309"/>
      <c r="T9" s="309"/>
      <c r="U9" s="579"/>
      <c r="V9" s="309"/>
      <c r="W9" s="309"/>
      <c r="X9" s="309"/>
      <c r="Y9" s="309"/>
      <c r="Z9" s="309"/>
      <c r="AA9" s="303"/>
      <c r="AB9" s="303"/>
    </row>
    <row r="10" spans="1:28">
      <c r="A10" s="24" t="s">
        <v>163</v>
      </c>
      <c r="B10" s="24" t="s">
        <v>71</v>
      </c>
      <c r="C10" s="12"/>
      <c r="D10" s="12"/>
      <c r="E10" s="24" t="s">
        <v>72</v>
      </c>
      <c r="F10" s="24" t="s">
        <v>19</v>
      </c>
      <c r="G10" s="13"/>
      <c r="H10" s="24" t="s">
        <v>72</v>
      </c>
      <c r="I10" s="24" t="s">
        <v>19</v>
      </c>
      <c r="K10" s="24" t="s">
        <v>72</v>
      </c>
      <c r="L10" s="24" t="s">
        <v>19</v>
      </c>
      <c r="N10" s="94">
        <f>CF!E27</f>
        <v>0.755463</v>
      </c>
      <c r="O10" s="95">
        <f>'RR SUMMARY'!O15</f>
        <v>7.3099999999999998E-2</v>
      </c>
      <c r="S10" s="309"/>
      <c r="T10" s="366"/>
      <c r="U10" s="578"/>
      <c r="V10" s="366"/>
      <c r="W10" s="367"/>
      <c r="X10" s="367"/>
      <c r="Y10" s="309"/>
      <c r="Z10" s="309"/>
    </row>
    <row r="11" spans="1:28">
      <c r="A11" s="169">
        <f>'ADJ DETAIL INPUT'!E$10</f>
        <v>1</v>
      </c>
      <c r="B11" s="27" t="str">
        <f>TRIM(CONCATENATE('ADJ DETAIL INPUT'!E$7," ",'ADJ DETAIL INPUT'!E$8," ",'ADJ DETAIL INPUT'!E$9))</f>
        <v>Per Results Report</v>
      </c>
      <c r="C11" s="28"/>
      <c r="D11" s="28"/>
      <c r="E11" s="29">
        <v>29386</v>
      </c>
      <c r="F11" s="29">
        <v>446796</v>
      </c>
      <c r="G11" s="29"/>
      <c r="H11" s="29">
        <f>'ADJ DETAIL INPUT'!E$58</f>
        <v>29386</v>
      </c>
      <c r="I11" s="29">
        <f>'ADJ DETAIL INPUT'!E$81</f>
        <v>446796</v>
      </c>
      <c r="J11" s="22"/>
      <c r="K11" s="96">
        <f>H11-E11</f>
        <v>0</v>
      </c>
      <c r="L11" s="96">
        <f>I11-F11</f>
        <v>0</v>
      </c>
      <c r="N11" s="99">
        <f>K11/$N$10*-1</f>
        <v>0</v>
      </c>
      <c r="O11" s="99">
        <f>L11*$O$10/$N$10</f>
        <v>0</v>
      </c>
      <c r="P11" s="313">
        <f>N11+O11</f>
        <v>0</v>
      </c>
      <c r="S11" s="368"/>
      <c r="T11" s="119"/>
      <c r="U11" s="577"/>
      <c r="V11" s="119"/>
      <c r="W11" s="309"/>
      <c r="X11" s="119"/>
      <c r="Y11" s="309"/>
      <c r="Z11" s="309"/>
    </row>
    <row r="12" spans="1:28" s="37" customFormat="1">
      <c r="A12" s="169">
        <f>'ADJ DETAIL INPUT'!F$10</f>
        <v>1.01</v>
      </c>
      <c r="B12" s="27" t="str">
        <f>TRIM(CONCATENATE('ADJ DETAIL INPUT'!F$7," ",'ADJ DETAIL INPUT'!F$8," ",'ADJ DETAIL INPUT'!F$9))</f>
        <v>Deferred FIT Rate Base</v>
      </c>
      <c r="C12" s="28"/>
      <c r="D12" s="28"/>
      <c r="E12" s="29">
        <v>1.115478</v>
      </c>
      <c r="F12" s="29">
        <v>227</v>
      </c>
      <c r="G12" s="35"/>
      <c r="H12" s="35">
        <f>'ADJ DETAIL INPUT'!F$58</f>
        <v>1.115478</v>
      </c>
      <c r="I12" s="35">
        <f>'ADJ DETAIL INPUT'!F$81</f>
        <v>227</v>
      </c>
      <c r="J12" s="38"/>
      <c r="K12" s="96">
        <f t="shared" ref="K12:K14" si="0">H12-E12</f>
        <v>0</v>
      </c>
      <c r="L12" s="96">
        <f t="shared" ref="L12:L14" si="1">I12-F12</f>
        <v>0</v>
      </c>
      <c r="N12" s="99">
        <f t="shared" ref="N12:N14" si="2">K12/$N$10*-1</f>
        <v>0</v>
      </c>
      <c r="O12" s="99">
        <f t="shared" ref="O12:O14" si="3">L12*$O$10/$N$10</f>
        <v>0</v>
      </c>
      <c r="P12" s="313">
        <f t="shared" ref="P12:P14" si="4">N12+O12</f>
        <v>0</v>
      </c>
      <c r="Q12" s="90"/>
      <c r="R12" s="333"/>
      <c r="S12" s="368"/>
      <c r="T12" s="119"/>
      <c r="U12" s="577"/>
      <c r="V12" s="119"/>
      <c r="W12" s="309"/>
      <c r="X12" s="119"/>
      <c r="Y12" s="309"/>
      <c r="Z12" s="309"/>
      <c r="AA12" s="330"/>
      <c r="AB12" s="330"/>
    </row>
    <row r="13" spans="1:28" s="37" customFormat="1">
      <c r="A13" s="169">
        <f>'ADJ DETAIL INPUT'!G$10</f>
        <v>1.02</v>
      </c>
      <c r="B13" s="27" t="str">
        <f>TRIM(CONCATENATE('ADJ DETAIL INPUT'!G$7," ",'ADJ DETAIL INPUT'!G$8," ",'ADJ DETAIL INPUT'!G$9))</f>
        <v>Deferred Debits and Credits</v>
      </c>
      <c r="C13" s="28"/>
      <c r="D13" s="28"/>
      <c r="E13" s="29">
        <v>4.914E-3</v>
      </c>
      <c r="F13" s="29">
        <v>1</v>
      </c>
      <c r="G13" s="35"/>
      <c r="H13" s="35">
        <f>'ADJ DETAIL INPUT'!G$58</f>
        <v>4.914E-3</v>
      </c>
      <c r="I13" s="35">
        <f>'ADJ DETAIL INPUT'!G$81</f>
        <v>1</v>
      </c>
      <c r="J13" s="38"/>
      <c r="K13" s="96">
        <f t="shared" si="0"/>
        <v>0</v>
      </c>
      <c r="L13" s="96">
        <f t="shared" si="1"/>
        <v>0</v>
      </c>
      <c r="N13" s="99">
        <f t="shared" si="2"/>
        <v>0</v>
      </c>
      <c r="O13" s="99">
        <f t="shared" si="3"/>
        <v>0</v>
      </c>
      <c r="P13" s="313">
        <f t="shared" si="4"/>
        <v>0</v>
      </c>
      <c r="Q13" s="89"/>
      <c r="R13" s="333"/>
      <c r="S13" s="368"/>
      <c r="T13" s="119"/>
      <c r="U13" s="577"/>
      <c r="V13" s="119"/>
      <c r="W13" s="309"/>
      <c r="X13" s="119"/>
      <c r="Y13" s="309"/>
      <c r="Z13" s="309"/>
      <c r="AA13" s="330"/>
      <c r="AB13" s="330"/>
    </row>
    <row r="14" spans="1:28" s="37" customFormat="1">
      <c r="A14" s="169">
        <f>'ADJ DETAIL INPUT'!H$10</f>
        <v>1.03</v>
      </c>
      <c r="B14" s="27" t="str">
        <f>TRIM(CONCATENATE('ADJ DETAIL INPUT'!H$7," ",'ADJ DETAIL INPUT'!H$8," ",'ADJ DETAIL INPUT'!H$9))</f>
        <v>Working Capital</v>
      </c>
      <c r="C14" s="28"/>
      <c r="D14" s="28"/>
      <c r="E14" s="29">
        <v>-0.78624000000000005</v>
      </c>
      <c r="F14" s="29">
        <v>-160</v>
      </c>
      <c r="G14" s="35"/>
      <c r="H14" s="35">
        <f>'ADJ DETAIL INPUT'!H$58</f>
        <v>-0.78624000000000005</v>
      </c>
      <c r="I14" s="35">
        <f>'ADJ DETAIL INPUT'!H$81</f>
        <v>-160</v>
      </c>
      <c r="J14" s="38"/>
      <c r="K14" s="96">
        <f t="shared" si="0"/>
        <v>0</v>
      </c>
      <c r="L14" s="96">
        <f t="shared" si="1"/>
        <v>0</v>
      </c>
      <c r="N14" s="99">
        <f t="shared" si="2"/>
        <v>0</v>
      </c>
      <c r="O14" s="99">
        <f t="shared" si="3"/>
        <v>0</v>
      </c>
      <c r="P14" s="313">
        <f t="shared" si="4"/>
        <v>0</v>
      </c>
      <c r="Q14" s="89"/>
      <c r="R14" s="333"/>
      <c r="S14" s="309"/>
      <c r="T14" s="122"/>
      <c r="U14" s="577"/>
      <c r="V14" s="122"/>
      <c r="W14" s="309"/>
      <c r="X14" s="122"/>
      <c r="Y14" s="309"/>
      <c r="Z14" s="309"/>
      <c r="AA14" s="330"/>
      <c r="AB14" s="330"/>
    </row>
    <row r="15" spans="1:28" ht="8.25" customHeight="1">
      <c r="A15" s="169"/>
      <c r="B15" s="27"/>
      <c r="C15" s="28"/>
      <c r="D15" s="28"/>
      <c r="E15" s="29"/>
      <c r="F15" s="29"/>
      <c r="G15" s="35"/>
      <c r="H15" s="35"/>
      <c r="I15" s="35"/>
      <c r="J15" s="22"/>
      <c r="K15" s="96"/>
      <c r="L15" s="96"/>
      <c r="M15" s="37"/>
      <c r="N15" s="99"/>
      <c r="O15" s="99"/>
      <c r="S15" s="309"/>
      <c r="T15" s="309"/>
      <c r="U15" s="577"/>
      <c r="V15" s="309"/>
      <c r="W15" s="309"/>
      <c r="X15" s="309"/>
      <c r="Y15" s="309"/>
      <c r="Z15" s="309"/>
    </row>
    <row r="16" spans="1:28">
      <c r="A16" s="169"/>
      <c r="B16" s="11" t="s">
        <v>74</v>
      </c>
      <c r="E16" s="30">
        <f>SUM(E11:E15)</f>
        <v>29386.334151999999</v>
      </c>
      <c r="F16" s="30">
        <f>SUM(F11:F15)</f>
        <v>446864</v>
      </c>
      <c r="G16" s="30"/>
      <c r="H16" s="30">
        <f>SUM(H11:H15)</f>
        <v>29386.334151999999</v>
      </c>
      <c r="I16" s="30">
        <f>SUM(I11:I15)</f>
        <v>446864</v>
      </c>
      <c r="J16" s="22"/>
      <c r="K16" s="30">
        <f>SUM(K11:K15)</f>
        <v>0</v>
      </c>
      <c r="L16" s="30">
        <f>SUM(L11:L15)</f>
        <v>0</v>
      </c>
      <c r="N16" s="30">
        <f>SUM(N11:N15)</f>
        <v>0</v>
      </c>
      <c r="O16" s="30">
        <f>SUM(O11:O15)</f>
        <v>0</v>
      </c>
      <c r="S16" s="309"/>
      <c r="T16" s="309"/>
      <c r="U16" s="577"/>
      <c r="V16" s="309"/>
      <c r="W16" s="309"/>
      <c r="X16" s="309"/>
      <c r="Y16" s="309"/>
      <c r="Z16" s="309"/>
    </row>
    <row r="17" spans="1:28" ht="5.25" customHeight="1">
      <c r="A17" s="169"/>
      <c r="B17" s="27"/>
      <c r="C17" s="28"/>
      <c r="D17" s="28"/>
      <c r="E17" s="29"/>
      <c r="F17" s="29"/>
      <c r="G17" s="29"/>
      <c r="H17" s="29"/>
      <c r="I17" s="29"/>
      <c r="J17" s="22"/>
      <c r="S17" s="368"/>
      <c r="T17" s="122"/>
      <c r="U17" s="577"/>
      <c r="V17" s="122"/>
      <c r="W17" s="309"/>
      <c r="X17" s="309"/>
      <c r="Y17" s="309"/>
      <c r="Z17" s="309"/>
    </row>
    <row r="18" spans="1:28" s="37" customFormat="1">
      <c r="A18" s="338">
        <f>'ADJ DETAIL INPUT'!I$10</f>
        <v>2.0099999999999998</v>
      </c>
      <c r="B18" s="27" t="str">
        <f>TRIM(CONCATENATE('ADJ DETAIL INPUT'!I$7," ",'ADJ DETAIL INPUT'!I$8," ",'ADJ DETAIL INPUT'!I$9))</f>
        <v>Eliminate B &amp; O Taxes</v>
      </c>
      <c r="C18" s="28"/>
      <c r="D18" s="28"/>
      <c r="E18" s="35">
        <v>0.79</v>
      </c>
      <c r="F18" s="35">
        <v>0</v>
      </c>
      <c r="G18" s="35"/>
      <c r="H18" s="35">
        <f>'ADJ DETAIL INPUT'!I$58</f>
        <v>0.79</v>
      </c>
      <c r="I18" s="35">
        <f>'ADJ DETAIL INPUT'!I$81</f>
        <v>0</v>
      </c>
      <c r="J18" s="38"/>
      <c r="K18" s="96">
        <f t="shared" ref="K18:K29" si="5">H18-E18</f>
        <v>0</v>
      </c>
      <c r="L18" s="96">
        <f t="shared" ref="L18:L29" si="6">I18-F18</f>
        <v>0</v>
      </c>
      <c r="M18" s="11"/>
      <c r="N18" s="99">
        <f t="shared" ref="N18:N29" si="7">K18/$N$10*-1</f>
        <v>0</v>
      </c>
      <c r="O18" s="99">
        <f t="shared" ref="O18:O29" si="8">L18*$O$10/$N$10</f>
        <v>0</v>
      </c>
      <c r="P18" s="313">
        <f t="shared" ref="P18:P29" si="9">N18+O18</f>
        <v>0</v>
      </c>
      <c r="Q18" s="90"/>
      <c r="R18" s="333"/>
      <c r="S18" s="368"/>
      <c r="T18" s="122"/>
      <c r="U18" s="577"/>
      <c r="V18" s="123"/>
      <c r="W18" s="309"/>
      <c r="X18" s="309"/>
      <c r="Y18" s="309"/>
      <c r="Z18" s="309"/>
      <c r="AA18" s="330"/>
      <c r="AB18" s="330"/>
    </row>
    <row r="19" spans="1:28" s="37" customFormat="1">
      <c r="A19" s="338">
        <f>'ADJ DETAIL INPUT'!J$10</f>
        <v>2.0199999999999996</v>
      </c>
      <c r="B19" s="27" t="str">
        <f>TRIM(CONCATENATE('ADJ DETAIL INPUT'!J$7," ",'ADJ DETAIL INPUT'!J$8," ",'ADJ DETAIL INPUT'!J$9))</f>
        <v>Restate Property Tax</v>
      </c>
      <c r="C19" s="28"/>
      <c r="D19" s="28"/>
      <c r="E19" s="35">
        <v>-0.79</v>
      </c>
      <c r="F19" s="35">
        <v>0</v>
      </c>
      <c r="G19" s="35"/>
      <c r="H19" s="35">
        <f>'ADJ DETAIL INPUT'!J$58</f>
        <v>-0.79</v>
      </c>
      <c r="I19" s="35">
        <f>'ADJ DETAIL INPUT'!J$81</f>
        <v>0</v>
      </c>
      <c r="J19" s="38"/>
      <c r="K19" s="96">
        <f t="shared" si="5"/>
        <v>0</v>
      </c>
      <c r="L19" s="96">
        <f t="shared" si="6"/>
        <v>0</v>
      </c>
      <c r="M19" s="11"/>
      <c r="N19" s="99">
        <f t="shared" si="7"/>
        <v>0</v>
      </c>
      <c r="O19" s="99">
        <f t="shared" si="8"/>
        <v>0</v>
      </c>
      <c r="P19" s="313">
        <f t="shared" si="9"/>
        <v>0</v>
      </c>
      <c r="Q19" s="90"/>
      <c r="R19" s="333"/>
      <c r="S19" s="368"/>
      <c r="T19" s="122"/>
      <c r="U19" s="577"/>
      <c r="V19" s="122"/>
      <c r="W19" s="309"/>
      <c r="X19" s="309"/>
      <c r="Y19" s="309"/>
      <c r="Z19" s="309"/>
      <c r="AA19" s="330"/>
      <c r="AB19" s="330"/>
    </row>
    <row r="20" spans="1:28" s="37" customFormat="1">
      <c r="A20" s="338">
        <f>'ADJ DETAIL INPUT'!K$10</f>
        <v>2.0299999999999994</v>
      </c>
      <c r="B20" s="27" t="str">
        <f>TRIM(CONCATENATE('ADJ DETAIL INPUT'!K$7," ",'ADJ DETAIL INPUT'!K$8," ",'ADJ DETAIL INPUT'!K$9))</f>
        <v>Uncollectible Expense</v>
      </c>
      <c r="C20" s="28"/>
      <c r="D20" s="28"/>
      <c r="E20" s="35">
        <v>-1515.22</v>
      </c>
      <c r="F20" s="35">
        <v>0</v>
      </c>
      <c r="G20" s="35"/>
      <c r="H20" s="35">
        <f>'ADJ DETAIL INPUT'!K$58</f>
        <v>-1515.22</v>
      </c>
      <c r="I20" s="35">
        <f>'ADJ DETAIL INPUT'!K$81</f>
        <v>0</v>
      </c>
      <c r="J20" s="38"/>
      <c r="K20" s="96">
        <f t="shared" ref="K20" si="10">H20-E20</f>
        <v>0</v>
      </c>
      <c r="L20" s="96">
        <f t="shared" ref="L20" si="11">I20-F20</f>
        <v>0</v>
      </c>
      <c r="M20" s="11"/>
      <c r="N20" s="99">
        <f t="shared" ref="N20" si="12">K20/$N$10*-1</f>
        <v>0</v>
      </c>
      <c r="O20" s="99">
        <f t="shared" ref="O20" si="13">L20*$O$10/$N$10</f>
        <v>0</v>
      </c>
      <c r="P20" s="313">
        <f t="shared" ref="P20" si="14">N20+O20</f>
        <v>0</v>
      </c>
      <c r="Q20" s="90"/>
      <c r="R20" s="333"/>
      <c r="S20" s="122"/>
      <c r="T20" s="91"/>
      <c r="U20" s="577"/>
      <c r="V20" s="309"/>
      <c r="W20" s="309"/>
      <c r="X20" s="309"/>
      <c r="Y20" s="309"/>
      <c r="Z20" s="309"/>
      <c r="AA20" s="330"/>
      <c r="AB20" s="330"/>
    </row>
    <row r="21" spans="1:28" s="37" customFormat="1">
      <c r="A21" s="338">
        <f>'ADJ DETAIL INPUT'!L$10</f>
        <v>2.0399999999999991</v>
      </c>
      <c r="B21" s="27" t="str">
        <f>TRIM(CONCATENATE('ADJ DETAIL INPUT'!L$7," ",'ADJ DETAIL INPUT'!L$8," ",'ADJ DETAIL INPUT'!L$9))</f>
        <v>Regulatory Expense</v>
      </c>
      <c r="C21" s="28"/>
      <c r="D21" s="28"/>
      <c r="E21" s="35">
        <v>-7.11</v>
      </c>
      <c r="F21" s="35">
        <v>0</v>
      </c>
      <c r="G21" s="35"/>
      <c r="H21" s="35">
        <f>'ADJ DETAIL INPUT'!L$58</f>
        <v>-7.11</v>
      </c>
      <c r="I21" s="35">
        <f>'ADJ DETAIL INPUT'!L$81</f>
        <v>0</v>
      </c>
      <c r="J21" s="38"/>
      <c r="K21" s="96">
        <f t="shared" si="5"/>
        <v>0</v>
      </c>
      <c r="L21" s="96">
        <f t="shared" si="6"/>
        <v>0</v>
      </c>
      <c r="M21" s="11"/>
      <c r="N21" s="99">
        <f t="shared" si="7"/>
        <v>0</v>
      </c>
      <c r="O21" s="99">
        <f t="shared" si="8"/>
        <v>0</v>
      </c>
      <c r="P21" s="313">
        <f t="shared" si="9"/>
        <v>0</v>
      </c>
      <c r="Q21" s="90"/>
      <c r="R21" s="333"/>
      <c r="S21" s="122"/>
      <c r="T21" s="309"/>
      <c r="U21" s="577"/>
      <c r="V21" s="309"/>
      <c r="W21" s="309"/>
      <c r="X21" s="309"/>
      <c r="Y21" s="309"/>
      <c r="Z21" s="309"/>
      <c r="AA21" s="330"/>
      <c r="AB21" s="330"/>
    </row>
    <row r="22" spans="1:28" s="37" customFormat="1">
      <c r="A22" s="338">
        <f>'ADJ DETAIL INPUT'!M$10</f>
        <v>2.0499999999999989</v>
      </c>
      <c r="B22" s="27" t="str">
        <f>TRIM(CONCATENATE('ADJ DETAIL INPUT'!M$7," ",'ADJ DETAIL INPUT'!M$8," ",'ADJ DETAIL INPUT'!M$9))</f>
        <v>Injuries &amp; Damages</v>
      </c>
      <c r="C22" s="28"/>
      <c r="D22" s="28"/>
      <c r="E22" s="35">
        <v>35.549999999999997</v>
      </c>
      <c r="F22" s="35">
        <v>0</v>
      </c>
      <c r="G22" s="35"/>
      <c r="H22" s="35">
        <f>'ADJ DETAIL INPUT'!M$58</f>
        <v>35.549999999999997</v>
      </c>
      <c r="I22" s="35">
        <f>'ADJ DETAIL INPUT'!M$81</f>
        <v>0</v>
      </c>
      <c r="J22" s="38"/>
      <c r="K22" s="96">
        <f t="shared" si="5"/>
        <v>0</v>
      </c>
      <c r="L22" s="96">
        <f t="shared" si="6"/>
        <v>0</v>
      </c>
      <c r="M22" s="11"/>
      <c r="N22" s="99">
        <f t="shared" si="7"/>
        <v>0</v>
      </c>
      <c r="O22" s="99">
        <f t="shared" si="8"/>
        <v>0</v>
      </c>
      <c r="P22" s="313">
        <f t="shared" si="9"/>
        <v>0</v>
      </c>
      <c r="Q22" s="90"/>
      <c r="R22" s="333"/>
      <c r="S22" s="309"/>
      <c r="T22" s="309"/>
      <c r="U22" s="577"/>
      <c r="V22" s="309"/>
      <c r="W22" s="309"/>
      <c r="X22" s="309"/>
      <c r="Y22" s="309"/>
      <c r="Z22" s="309"/>
      <c r="AA22" s="330"/>
      <c r="AB22" s="330"/>
    </row>
    <row r="23" spans="1:28" s="37" customFormat="1">
      <c r="A23" s="338">
        <f>'ADJ DETAIL INPUT'!N$10</f>
        <v>2.0599999999999987</v>
      </c>
      <c r="B23" s="27" t="str">
        <f>TRIM(CONCATENATE('ADJ DETAIL INPUT'!N$7," ",'ADJ DETAIL INPUT'!N$8," ",'ADJ DETAIL INPUT'!N$9))</f>
        <v>FIT / DFIT Expense</v>
      </c>
      <c r="C23" s="28"/>
      <c r="D23" s="28"/>
      <c r="E23" s="35">
        <v>-363</v>
      </c>
      <c r="F23" s="35">
        <v>0</v>
      </c>
      <c r="G23" s="35"/>
      <c r="H23" s="35">
        <f>'ADJ DETAIL INPUT'!N$58</f>
        <v>-363</v>
      </c>
      <c r="I23" s="35">
        <f>'ADJ DETAIL INPUT'!N$81</f>
        <v>0</v>
      </c>
      <c r="J23" s="38"/>
      <c r="K23" s="96">
        <f t="shared" si="5"/>
        <v>0</v>
      </c>
      <c r="L23" s="96">
        <f t="shared" si="6"/>
        <v>0</v>
      </c>
      <c r="M23" s="11"/>
      <c r="N23" s="99">
        <f t="shared" si="7"/>
        <v>0</v>
      </c>
      <c r="O23" s="99">
        <f t="shared" si="8"/>
        <v>0</v>
      </c>
      <c r="P23" s="313">
        <f t="shared" si="9"/>
        <v>0</v>
      </c>
      <c r="Q23" s="90"/>
      <c r="R23" s="333"/>
      <c r="S23" s="122"/>
      <c r="T23" s="309"/>
      <c r="U23" s="577"/>
      <c r="V23" s="309"/>
      <c r="W23" s="309"/>
      <c r="X23" s="309"/>
      <c r="Y23" s="309"/>
      <c r="Z23" s="309"/>
      <c r="AA23" s="330"/>
      <c r="AB23" s="330"/>
    </row>
    <row r="24" spans="1:28" s="37" customFormat="1">
      <c r="A24" s="338">
        <f>'ADJ DETAIL INPUT'!O$10</f>
        <v>2.0699999999999985</v>
      </c>
      <c r="B24" s="27" t="str">
        <f>TRIM(CONCATENATE('ADJ DETAIL INPUT'!O$7," ",'ADJ DETAIL INPUT'!O$8," ",'ADJ DETAIL INPUT'!O$9))</f>
        <v>Office Space Charges to Non-Utility</v>
      </c>
      <c r="C24" s="28"/>
      <c r="D24" s="28"/>
      <c r="E24" s="35">
        <v>13.43</v>
      </c>
      <c r="F24" s="35">
        <v>0</v>
      </c>
      <c r="G24" s="35"/>
      <c r="H24" s="35">
        <f>'ADJ DETAIL INPUT'!O$58</f>
        <v>13.43</v>
      </c>
      <c r="I24" s="35">
        <f>'ADJ DETAIL INPUT'!O$81</f>
        <v>0</v>
      </c>
      <c r="J24" s="38"/>
      <c r="K24" s="96">
        <f t="shared" si="5"/>
        <v>0</v>
      </c>
      <c r="L24" s="96">
        <f t="shared" si="6"/>
        <v>0</v>
      </c>
      <c r="M24" s="98"/>
      <c r="N24" s="99">
        <f t="shared" si="7"/>
        <v>0</v>
      </c>
      <c r="O24" s="99">
        <f t="shared" si="8"/>
        <v>0</v>
      </c>
      <c r="P24" s="313">
        <f t="shared" si="9"/>
        <v>0</v>
      </c>
      <c r="Q24" s="90"/>
      <c r="R24" s="333"/>
      <c r="S24" s="309"/>
      <c r="T24" s="309"/>
      <c r="U24" s="577"/>
      <c r="V24" s="309"/>
      <c r="W24" s="309"/>
      <c r="X24" s="309"/>
      <c r="Y24" s="309"/>
      <c r="Z24" s="309"/>
      <c r="AA24" s="330"/>
      <c r="AB24" s="330"/>
    </row>
    <row r="25" spans="1:28" s="37" customFormat="1">
      <c r="A25" s="338">
        <f>'ADJ DETAIL INPUT'!P$10</f>
        <v>2.0799999999999983</v>
      </c>
      <c r="B25" s="27" t="str">
        <f>TRIM(CONCATENATE('ADJ DETAIL INPUT'!P$7," ",'ADJ DETAIL INPUT'!P$8," ",'ADJ DETAIL INPUT'!P$9))</f>
        <v>Restate Excise Taxes</v>
      </c>
      <c r="C25" s="28"/>
      <c r="D25" s="28"/>
      <c r="E25" s="35">
        <v>-1.58</v>
      </c>
      <c r="F25" s="35">
        <v>0</v>
      </c>
      <c r="G25" s="35"/>
      <c r="H25" s="35">
        <f>'ADJ DETAIL INPUT'!P$58</f>
        <v>-1.58</v>
      </c>
      <c r="I25" s="35">
        <f>'ADJ DETAIL INPUT'!P$81</f>
        <v>0</v>
      </c>
      <c r="J25" s="38"/>
      <c r="K25" s="96">
        <f t="shared" si="5"/>
        <v>0</v>
      </c>
      <c r="L25" s="96">
        <f t="shared" si="6"/>
        <v>0</v>
      </c>
      <c r="M25" s="98"/>
      <c r="N25" s="99">
        <f t="shared" si="7"/>
        <v>0</v>
      </c>
      <c r="O25" s="99">
        <f t="shared" si="8"/>
        <v>0</v>
      </c>
      <c r="P25" s="313">
        <f t="shared" si="9"/>
        <v>0</v>
      </c>
      <c r="Q25" s="90"/>
      <c r="R25" s="333"/>
      <c r="S25" s="122"/>
      <c r="T25" s="309"/>
      <c r="U25" s="577"/>
      <c r="V25" s="309"/>
      <c r="W25" s="309"/>
      <c r="X25" s="309"/>
      <c r="Y25" s="309"/>
      <c r="Z25" s="309"/>
      <c r="AA25" s="330"/>
      <c r="AB25" s="330"/>
    </row>
    <row r="26" spans="1:28" s="37" customFormat="1">
      <c r="A26" s="338">
        <f>'ADJ DETAIL INPUT'!Q$10</f>
        <v>2.0899999999999981</v>
      </c>
      <c r="B26" s="27" t="str">
        <f>TRIM(CONCATENATE('ADJ DETAIL INPUT'!Q$7," ",'ADJ DETAIL INPUT'!Q$8," ",'ADJ DETAIL INPUT'!Q$9))</f>
        <v>Net Gains &amp; Losses</v>
      </c>
      <c r="C26" s="28"/>
      <c r="D26" s="28"/>
      <c r="E26" s="35">
        <v>8.69</v>
      </c>
      <c r="F26" s="35">
        <v>0</v>
      </c>
      <c r="G26" s="35"/>
      <c r="H26" s="35">
        <f>'ADJ DETAIL INPUT'!Q$58</f>
        <v>8.69</v>
      </c>
      <c r="I26" s="35">
        <f>'ADJ DETAIL INPUT'!Q$81</f>
        <v>0</v>
      </c>
      <c r="J26" s="38"/>
      <c r="K26" s="96">
        <f t="shared" ref="K26:L27" si="15">H26-E26</f>
        <v>0</v>
      </c>
      <c r="L26" s="96">
        <f t="shared" si="15"/>
        <v>0</v>
      </c>
      <c r="M26" s="98"/>
      <c r="N26" s="99">
        <f>K26/$N$10*-1</f>
        <v>0</v>
      </c>
      <c r="O26" s="99">
        <f>L26*$O$10/$N$10</f>
        <v>0</v>
      </c>
      <c r="P26" s="313">
        <f>N26+O26</f>
        <v>0</v>
      </c>
      <c r="Q26" s="90"/>
      <c r="R26" s="333"/>
      <c r="S26" s="309"/>
      <c r="T26" s="309"/>
      <c r="U26" s="577"/>
      <c r="V26" s="309"/>
      <c r="W26" s="309"/>
      <c r="X26" s="309"/>
      <c r="Y26" s="309"/>
      <c r="Z26" s="309"/>
      <c r="AA26" s="330"/>
      <c r="AB26" s="330"/>
    </row>
    <row r="27" spans="1:28" s="28" customFormat="1">
      <c r="A27" s="338">
        <f>'ADJ DETAIL INPUT'!R$10</f>
        <v>2.0999999999999979</v>
      </c>
      <c r="B27" s="27" t="str">
        <f>TRIM(CONCATENATE('ADJ DETAIL INPUT'!R$7," ",'ADJ DETAIL INPUT'!R$8," ",'ADJ DETAIL INPUT'!R$9))</f>
        <v>Weather Normalization / Gas Cost Adjust</v>
      </c>
      <c r="E27" s="35">
        <v>0</v>
      </c>
      <c r="F27" s="35">
        <v>0</v>
      </c>
      <c r="G27" s="35"/>
      <c r="H27" s="35">
        <f>'ADJ DETAIL INPUT'!R$58</f>
        <v>0</v>
      </c>
      <c r="I27" s="35">
        <f>'ADJ DETAIL INPUT'!R$81</f>
        <v>0</v>
      </c>
      <c r="J27" s="36"/>
      <c r="K27" s="96">
        <f t="shared" si="15"/>
        <v>0</v>
      </c>
      <c r="L27" s="96">
        <f t="shared" si="15"/>
        <v>0</v>
      </c>
      <c r="M27" s="11"/>
      <c r="N27" s="99">
        <f>K27/$N$10*-1</f>
        <v>0</v>
      </c>
      <c r="O27" s="99">
        <f>L27*$O$10/$N$10</f>
        <v>0</v>
      </c>
      <c r="P27" s="313">
        <f>N27+O27</f>
        <v>0</v>
      </c>
      <c r="Q27" s="86"/>
      <c r="R27" s="333"/>
      <c r="S27" s="514"/>
      <c r="T27" s="514"/>
      <c r="U27" s="577"/>
      <c r="V27" s="309"/>
      <c r="W27" s="309"/>
      <c r="X27" s="309"/>
      <c r="Y27" s="309"/>
      <c r="Z27" s="309"/>
      <c r="AA27" s="330"/>
      <c r="AB27" s="330"/>
    </row>
    <row r="28" spans="1:28" s="305" customFormat="1">
      <c r="A28" s="338">
        <f>'ADJ DETAIL INPUT'!S$10</f>
        <v>2.1099999999999977</v>
      </c>
      <c r="B28" s="27" t="str">
        <f>TRIM(CONCATENATE('ADJ DETAIL INPUT'!S$7," ",'ADJ DETAIL INPUT'!S$8," ",'ADJ DETAIL INPUT'!S$9))</f>
        <v>Eliminate Adder Schedules</v>
      </c>
      <c r="E28" s="35">
        <v>0</v>
      </c>
      <c r="F28" s="35">
        <v>0</v>
      </c>
      <c r="G28" s="35"/>
      <c r="H28" s="35">
        <f>'ADJ DETAIL INPUT'!S$58</f>
        <v>0</v>
      </c>
      <c r="I28" s="35">
        <f>'ADJ DETAIL INPUT'!S$81</f>
        <v>0</v>
      </c>
      <c r="J28" s="36"/>
      <c r="K28" s="308">
        <f t="shared" ref="K28" si="16">H28-E28</f>
        <v>0</v>
      </c>
      <c r="L28" s="308">
        <f t="shared" ref="L28" si="17">I28-F28</f>
        <v>0</v>
      </c>
      <c r="M28" s="302"/>
      <c r="N28" s="312">
        <f>K28/$N$10*-1</f>
        <v>0</v>
      </c>
      <c r="O28" s="312">
        <f>L28*$O$10/$N$10</f>
        <v>0</v>
      </c>
      <c r="P28" s="313">
        <f>N28+O28</f>
        <v>0</v>
      </c>
      <c r="Q28" s="311"/>
      <c r="R28" s="333"/>
      <c r="S28" s="514"/>
      <c r="T28" s="514"/>
      <c r="U28" s="577"/>
      <c r="V28" s="309"/>
      <c r="W28" s="309"/>
      <c r="X28" s="309"/>
      <c r="Y28" s="309"/>
      <c r="Z28" s="309"/>
      <c r="AA28" s="330"/>
      <c r="AB28" s="330"/>
    </row>
    <row r="29" spans="1:28" s="90" customFormat="1">
      <c r="A29" s="338">
        <f>'ADJ DETAIL INPUT'!T$10</f>
        <v>2.1199999999999974</v>
      </c>
      <c r="B29" s="85" t="str">
        <f>TRIM(CONCATENATE('ADJ DETAIL INPUT'!T$7," ",'ADJ DETAIL INPUT'!T$8," ",'ADJ DETAIL INPUT'!T$9))</f>
        <v>Misc. Restating Non-Util / Non- Recurring Expense</v>
      </c>
      <c r="C29" s="86"/>
      <c r="D29" s="86"/>
      <c r="E29" s="87">
        <v>379.99</v>
      </c>
      <c r="F29" s="87">
        <v>0</v>
      </c>
      <c r="G29" s="87"/>
      <c r="H29" s="87">
        <f>'ADJ DETAIL INPUT'!T$58</f>
        <v>379.99</v>
      </c>
      <c r="I29" s="87">
        <f>'ADJ DETAIL INPUT'!T$81</f>
        <v>0</v>
      </c>
      <c r="J29" s="91"/>
      <c r="K29" s="96">
        <f t="shared" si="5"/>
        <v>0</v>
      </c>
      <c r="L29" s="96">
        <f t="shared" si="6"/>
        <v>0</v>
      </c>
      <c r="M29" s="98"/>
      <c r="N29" s="99">
        <f t="shared" si="7"/>
        <v>0</v>
      </c>
      <c r="O29" s="99">
        <f t="shared" si="8"/>
        <v>0</v>
      </c>
      <c r="P29" s="313">
        <f t="shared" si="9"/>
        <v>0</v>
      </c>
      <c r="R29" s="333"/>
      <c r="S29" s="514"/>
      <c r="T29" s="514"/>
      <c r="U29" s="577"/>
      <c r="V29" s="309"/>
      <c r="W29" s="309"/>
      <c r="X29" s="309"/>
      <c r="Y29" s="309"/>
      <c r="Z29" s="309"/>
      <c r="AA29" s="333"/>
      <c r="AB29" s="333"/>
    </row>
    <row r="30" spans="1:28" s="90" customFormat="1">
      <c r="A30" s="338">
        <f>'ADJ DETAIL INPUT'!U$10</f>
        <v>2.1299999999999972</v>
      </c>
      <c r="B30" s="85" t="str">
        <f>TRIM(CONCATENATE('ADJ DETAIL INPUT'!U$7," ",'ADJ DETAIL INPUT'!U$8," ",'ADJ DETAIL INPUT'!U$9))</f>
        <v>Restating Incentives Expense</v>
      </c>
      <c r="C30" s="311"/>
      <c r="D30" s="311"/>
      <c r="E30" s="87">
        <v>-683.35</v>
      </c>
      <c r="F30" s="87">
        <v>0</v>
      </c>
      <c r="G30" s="87"/>
      <c r="H30" s="87">
        <f>'ADJ DETAIL INPUT'!U$58</f>
        <v>-683.35</v>
      </c>
      <c r="I30" s="87">
        <f>'ADJ DETAIL INPUT'!U$81</f>
        <v>0</v>
      </c>
      <c r="J30" s="91"/>
      <c r="K30" s="308">
        <f t="shared" ref="K30:L32" si="18">H30-E30</f>
        <v>0</v>
      </c>
      <c r="L30" s="308">
        <f t="shared" si="18"/>
        <v>0</v>
      </c>
      <c r="M30" s="98"/>
      <c r="N30" s="312">
        <f>K30/$N$10*-1</f>
        <v>0</v>
      </c>
      <c r="O30" s="312">
        <f>L30*$O$10/$N$10</f>
        <v>0</v>
      </c>
      <c r="P30" s="313">
        <f>N30+O30</f>
        <v>0</v>
      </c>
      <c r="Q30" s="333"/>
      <c r="R30" s="333"/>
      <c r="S30" s="91"/>
      <c r="T30" s="91"/>
      <c r="U30" s="577"/>
      <c r="V30" s="333"/>
      <c r="W30" s="333"/>
      <c r="X30" s="333"/>
      <c r="Y30" s="333"/>
      <c r="Z30" s="333"/>
      <c r="AA30" s="333"/>
      <c r="AB30" s="333"/>
    </row>
    <row r="31" spans="1:28" s="90" customFormat="1">
      <c r="A31" s="338">
        <f>'ADJ DETAIL INPUT'!V$10</f>
        <v>2.139999999999997</v>
      </c>
      <c r="B31" s="85" t="str">
        <f>TRIM(CONCATENATE('ADJ DETAIL INPUT'!V$7," ",'ADJ DETAIL INPUT'!V$8," ",'ADJ DETAIL INPUT'!V$9))</f>
        <v>Restate Debt Interest</v>
      </c>
      <c r="C31" s="86"/>
      <c r="D31" s="86"/>
      <c r="E31" s="87">
        <v>-251</v>
      </c>
      <c r="F31" s="87">
        <v>0</v>
      </c>
      <c r="G31" s="87"/>
      <c r="H31" s="87">
        <f>'ADJ DETAIL INPUT'!V$58</f>
        <v>-251</v>
      </c>
      <c r="I31" s="87">
        <f>'ADJ DETAIL INPUT'!V$81</f>
        <v>0</v>
      </c>
      <c r="J31" s="91"/>
      <c r="K31" s="96">
        <f t="shared" si="18"/>
        <v>0</v>
      </c>
      <c r="L31" s="96">
        <f t="shared" si="18"/>
        <v>0</v>
      </c>
      <c r="M31" s="98"/>
      <c r="N31" s="99">
        <f>K31/$N$10*-1</f>
        <v>0</v>
      </c>
      <c r="O31" s="99">
        <f>L31*$O$10/$N$10</f>
        <v>0</v>
      </c>
      <c r="P31" s="313">
        <f>N31+O31</f>
        <v>0</v>
      </c>
      <c r="Q31" s="89" t="s">
        <v>170</v>
      </c>
      <c r="R31" s="333"/>
      <c r="S31" s="309"/>
      <c r="T31" s="309"/>
      <c r="U31" s="577"/>
      <c r="V31" s="333"/>
      <c r="W31" s="333"/>
      <c r="X31" s="333"/>
      <c r="Y31" s="333"/>
      <c r="Z31" s="333"/>
      <c r="AA31" s="333"/>
      <c r="AB31" s="333"/>
    </row>
    <row r="32" spans="1:28" s="90" customFormat="1">
      <c r="A32" s="338">
        <f>'ADJ DETAIL INPUT'!W$10</f>
        <v>2.1499999999999968</v>
      </c>
      <c r="B32" s="85" t="str">
        <f>TRIM(CONCATENATE('ADJ DETAIL INPUT'!W$7," ",'ADJ DETAIL INPUT'!W$8," ",'ADJ DETAIL INPUT'!W$9))</f>
        <v>Restate 09.2021 AMA Rate Base to EOP</v>
      </c>
      <c r="C32" s="311"/>
      <c r="D32" s="311"/>
      <c r="E32" s="87">
        <v>130.19643000000002</v>
      </c>
      <c r="F32" s="87">
        <v>26495</v>
      </c>
      <c r="G32" s="87"/>
      <c r="H32" s="87">
        <f>'ADJ DETAIL INPUT'!W$58</f>
        <v>130.19643000000002</v>
      </c>
      <c r="I32" s="87">
        <f>'ADJ DETAIL INPUT'!W$81</f>
        <v>26495</v>
      </c>
      <c r="J32" s="91"/>
      <c r="K32" s="308">
        <f t="shared" si="18"/>
        <v>0</v>
      </c>
      <c r="L32" s="308">
        <f t="shared" si="18"/>
        <v>0</v>
      </c>
      <c r="M32" s="98"/>
      <c r="N32" s="312">
        <f>K32/$N$10*-1</f>
        <v>0</v>
      </c>
      <c r="O32" s="312">
        <f>L32*$O$10/$N$10</f>
        <v>0</v>
      </c>
      <c r="P32" s="313">
        <f>N32+O32</f>
        <v>0</v>
      </c>
      <c r="Q32" s="333"/>
      <c r="R32" s="333"/>
      <c r="S32" s="309"/>
      <c r="T32" s="309"/>
      <c r="U32" s="577"/>
      <c r="V32" s="333"/>
      <c r="W32" s="333"/>
      <c r="X32" s="333"/>
      <c r="Y32" s="333"/>
      <c r="Z32" s="333"/>
      <c r="AA32" s="333"/>
      <c r="AB32" s="333"/>
    </row>
    <row r="33" spans="1:28" s="90" customFormat="1">
      <c r="A33" s="338">
        <f>'ADJ DETAIL INPUT'!X$10</f>
        <v>2.1599999999999966</v>
      </c>
      <c r="B33" s="85" t="str">
        <f>TRIM(CONCATENATE('ADJ DETAIL INPUT'!X$7," ",'ADJ DETAIL INPUT'!X$8," ",'ADJ DETAIL INPUT'!X$9))</f>
        <v>Restate 09.2021 Tax Credit Regulatory Liability to EOP</v>
      </c>
      <c r="C33" s="968"/>
      <c r="D33" s="968"/>
      <c r="E33" s="87">
        <v>-59.980284000000005</v>
      </c>
      <c r="F33" s="87">
        <v>-12206</v>
      </c>
      <c r="G33" s="87"/>
      <c r="H33" s="87">
        <f>'ADJ DETAIL INPUT'!X$58</f>
        <v>-59.980284000000005</v>
      </c>
      <c r="I33" s="87">
        <f>'ADJ DETAIL INPUT'!X$81</f>
        <v>-12206</v>
      </c>
      <c r="J33" s="91"/>
      <c r="K33" s="963">
        <f t="shared" ref="K33" si="19">H33-E33</f>
        <v>0</v>
      </c>
      <c r="L33" s="963">
        <f t="shared" ref="L33" si="20">I33-F33</f>
        <v>0</v>
      </c>
      <c r="M33" s="962"/>
      <c r="N33" s="970">
        <f>K33/$N$10*-1</f>
        <v>0</v>
      </c>
      <c r="O33" s="970">
        <f>L33*$O$10/$N$10</f>
        <v>0</v>
      </c>
      <c r="P33" s="971">
        <f>N33+O33</f>
        <v>0</v>
      </c>
      <c r="Q33" s="967"/>
      <c r="R33" s="967"/>
      <c r="S33" s="966"/>
      <c r="T33" s="966"/>
      <c r="U33" s="973"/>
      <c r="V33" s="967"/>
      <c r="W33" s="967"/>
      <c r="X33" s="967"/>
      <c r="Y33" s="967"/>
      <c r="Z33" s="967"/>
      <c r="AA33" s="967"/>
      <c r="AB33" s="967"/>
    </row>
    <row r="34" spans="1:28" ht="18" customHeight="1" thickBot="1">
      <c r="A34" s="338"/>
      <c r="B34" s="11" t="s">
        <v>75</v>
      </c>
      <c r="E34" s="34">
        <f>SUM(E16:E33)</f>
        <v>27072.950297999996</v>
      </c>
      <c r="F34" s="34">
        <f>SUM(F16:F33)</f>
        <v>461153</v>
      </c>
      <c r="G34" s="34"/>
      <c r="H34" s="34">
        <f>SUM(H16:H33)</f>
        <v>27072.950297999996</v>
      </c>
      <c r="I34" s="34">
        <f>SUM(I16:I33)</f>
        <v>461153</v>
      </c>
      <c r="J34" s="22"/>
      <c r="K34" s="34">
        <f>SUM(K16:K32)</f>
        <v>0</v>
      </c>
      <c r="L34" s="34">
        <f>SUM(L16:L32)</f>
        <v>0</v>
      </c>
      <c r="M34" s="34"/>
      <c r="N34" s="34">
        <f>SUM(N16:N32)</f>
        <v>0</v>
      </c>
      <c r="O34" s="34">
        <f>SUM(O16:O32)</f>
        <v>0</v>
      </c>
      <c r="S34" s="309"/>
    </row>
    <row r="35" spans="1:28" ht="15" customHeight="1" thickTop="1">
      <c r="A35" s="976" t="s">
        <v>665</v>
      </c>
      <c r="D35" s="31"/>
      <c r="E35" s="31"/>
      <c r="H35" s="31"/>
      <c r="J35" s="22"/>
      <c r="K35" s="97"/>
      <c r="L35" s="97"/>
      <c r="N35" s="32"/>
      <c r="O35" s="32"/>
      <c r="S35" s="309"/>
    </row>
    <row r="36" spans="1:28" s="89" customFormat="1">
      <c r="A36" s="338">
        <f>'ADJ DETAIL INPUT'!AA$10</f>
        <v>3.01</v>
      </c>
      <c r="B36" s="85" t="str">
        <f>TRIM(CONCATENATE('ADJ DETAIL INPUT'!AA$7," ",'ADJ DETAIL INPUT'!AA$8," ",'ADJ DETAIL INPUT'!AA$9))</f>
        <v>Pro Forma Revenue Normalization</v>
      </c>
      <c r="C36" s="86"/>
      <c r="D36" s="86"/>
      <c r="E36" s="87">
        <v>6871.42</v>
      </c>
      <c r="F36" s="87">
        <v>0</v>
      </c>
      <c r="G36" s="87"/>
      <c r="H36" s="87">
        <f>'ADJ DETAIL INPUT'!AA$58</f>
        <v>6871.42</v>
      </c>
      <c r="I36" s="87">
        <f>'ADJ DETAIL INPUT'!AA$81</f>
        <v>0</v>
      </c>
      <c r="J36" s="88"/>
      <c r="K36" s="96">
        <f>H36-E36</f>
        <v>0</v>
      </c>
      <c r="L36" s="96">
        <f>I36-F36</f>
        <v>0</v>
      </c>
      <c r="M36" s="11"/>
      <c r="N36" s="99">
        <f>K36/$N$10*-1</f>
        <v>0</v>
      </c>
      <c r="O36" s="99">
        <f>L36*$O$10/$N$10</f>
        <v>0</v>
      </c>
      <c r="P36" s="119">
        <f>N36+O36</f>
        <v>0</v>
      </c>
      <c r="Q36" s="309"/>
      <c r="R36" s="309"/>
      <c r="S36" s="309"/>
      <c r="T36" s="309"/>
      <c r="U36" s="577"/>
      <c r="V36" s="333"/>
      <c r="W36" s="333"/>
      <c r="X36" s="333"/>
      <c r="Y36" s="333"/>
      <c r="Z36" s="333"/>
      <c r="AA36" s="333"/>
      <c r="AB36" s="333"/>
    </row>
    <row r="37" spans="1:28" s="333" customFormat="1">
      <c r="A37" s="338">
        <f>'ADJ DETAIL INPUT'!AB$10</f>
        <v>3.0199999999999996</v>
      </c>
      <c r="B37" s="85" t="str">
        <f>TRIM(CONCATENATE('ADJ DETAIL INPUT'!AB$7," ",'ADJ DETAIL INPUT'!AB$8," ",'ADJ DETAIL INPUT'!AB$9))</f>
        <v>Pro Forma Def. Debits, Credits &amp; Regulatory Amorts</v>
      </c>
      <c r="C37" s="311"/>
      <c r="D37" s="311"/>
      <c r="E37" s="87">
        <v>392.63</v>
      </c>
      <c r="F37" s="87">
        <v>0</v>
      </c>
      <c r="G37" s="87"/>
      <c r="H37" s="87">
        <f>'ADJ DETAIL INPUT'!AB$58</f>
        <v>392.63</v>
      </c>
      <c r="I37" s="87">
        <f>'ADJ DETAIL INPUT'!AB$81</f>
        <v>0</v>
      </c>
      <c r="J37" s="309"/>
      <c r="K37" s="308">
        <f t="shared" ref="K37:K38" si="21">H37-E37</f>
        <v>0</v>
      </c>
      <c r="L37" s="308">
        <f t="shared" ref="L37:L38" si="22">I37-F37</f>
        <v>0</v>
      </c>
      <c r="M37" s="330"/>
      <c r="N37" s="312">
        <f t="shared" ref="N37:N38" si="23">K37/$N$10*-1</f>
        <v>0</v>
      </c>
      <c r="O37" s="312">
        <f t="shared" ref="O37:O38" si="24">L37*$O$10/$N$10</f>
        <v>0</v>
      </c>
      <c r="P37" s="119">
        <f t="shared" ref="P37:P38" si="25">N37+O37</f>
        <v>0</v>
      </c>
      <c r="Q37" s="309"/>
      <c r="R37" s="309"/>
      <c r="S37" s="309"/>
      <c r="T37" s="309"/>
      <c r="U37" s="577"/>
    </row>
    <row r="38" spans="1:28" s="333" customFormat="1">
      <c r="A38" s="338">
        <f>'ADJ DETAIL INPUT'!AC$10</f>
        <v>3.0299999999999994</v>
      </c>
      <c r="B38" s="85" t="str">
        <f>TRIM(CONCATENATE('ADJ DETAIL INPUT'!AC$7," ",'ADJ DETAIL INPUT'!AC$8," ",'ADJ DETAIL INPUT'!AC$9))</f>
        <v>Pro Forma 2023 ARAM DFIT</v>
      </c>
      <c r="C38" s="311"/>
      <c r="D38" s="311"/>
      <c r="E38" s="87">
        <v>-27</v>
      </c>
      <c r="F38" s="87">
        <v>0</v>
      </c>
      <c r="G38" s="87"/>
      <c r="H38" s="87">
        <f>'ADJ DETAIL INPUT'!AC$58</f>
        <v>-27</v>
      </c>
      <c r="I38" s="87">
        <f>'ADJ DETAIL INPUT'!AC$81</f>
        <v>0</v>
      </c>
      <c r="J38" s="309"/>
      <c r="K38" s="308">
        <f t="shared" si="21"/>
        <v>0</v>
      </c>
      <c r="L38" s="308">
        <f t="shared" si="22"/>
        <v>0</v>
      </c>
      <c r="M38" s="330"/>
      <c r="N38" s="312">
        <f t="shared" si="23"/>
        <v>0</v>
      </c>
      <c r="O38" s="312">
        <f t="shared" si="24"/>
        <v>0</v>
      </c>
      <c r="P38" s="119">
        <f t="shared" si="25"/>
        <v>0</v>
      </c>
      <c r="Q38" s="309"/>
      <c r="R38" s="309"/>
      <c r="S38" s="309"/>
      <c r="T38" s="309"/>
      <c r="U38" s="577"/>
    </row>
    <row r="39" spans="1:28" s="333" customFormat="1">
      <c r="A39" s="338">
        <f>'ADJ DETAIL INPUT'!AD$10</f>
        <v>3.0399999999999991</v>
      </c>
      <c r="B39" s="85" t="str">
        <f>TRIM(CONCATENATE('ADJ DETAIL INPUT'!AD$7," ",'ADJ DETAIL INPUT'!AD$8," ",'ADJ DETAIL INPUT'!AD$9))</f>
        <v>Pro Forma AMI Amortization</v>
      </c>
      <c r="C39" s="311"/>
      <c r="D39" s="311"/>
      <c r="E39" s="87">
        <v>-2657.0860620000003</v>
      </c>
      <c r="F39" s="87">
        <v>8617</v>
      </c>
      <c r="G39" s="87"/>
      <c r="H39" s="87">
        <f>'ADJ DETAIL INPUT'!AD$58</f>
        <v>-2657.0860620000003</v>
      </c>
      <c r="I39" s="87">
        <f>'ADJ DETAIL INPUT'!AD$81</f>
        <v>8617</v>
      </c>
      <c r="J39" s="309"/>
      <c r="K39" s="308">
        <f>H39-E39</f>
        <v>0</v>
      </c>
      <c r="L39" s="308">
        <f>I39-F39</f>
        <v>0</v>
      </c>
      <c r="M39" s="330"/>
      <c r="N39" s="312">
        <f>K39/$N$10*-1</f>
        <v>0</v>
      </c>
      <c r="O39" s="312">
        <f>L39*$O$10/$N$10</f>
        <v>0</v>
      </c>
      <c r="P39" s="119">
        <f>N39+O39</f>
        <v>0</v>
      </c>
      <c r="Q39" s="309"/>
      <c r="R39" s="309"/>
      <c r="S39" s="309"/>
      <c r="T39" s="309"/>
      <c r="U39" s="577"/>
    </row>
    <row r="40" spans="1:28" s="310" customFormat="1">
      <c r="A40" s="338">
        <f>'ADJ DETAIL INPUT'!AE$10</f>
        <v>3.0499999999999989</v>
      </c>
      <c r="B40" s="85" t="str">
        <f>TRIM(CONCATENATE('ADJ DETAIL INPUT'!AE$7," ",'ADJ DETAIL INPUT'!AE$8," ",'ADJ DETAIL INPUT'!AE$9))</f>
        <v>Pro Forma Other Amortization</v>
      </c>
      <c r="C40" s="311"/>
      <c r="D40" s="311"/>
      <c r="E40" s="87">
        <v>131.13999999999999</v>
      </c>
      <c r="F40" s="87">
        <v>0</v>
      </c>
      <c r="G40" s="87"/>
      <c r="H40" s="87">
        <f>'ADJ DETAIL INPUT'!AE$58</f>
        <v>131.13999999999999</v>
      </c>
      <c r="I40" s="87">
        <f>'ADJ DETAIL INPUT'!AE$81</f>
        <v>0</v>
      </c>
      <c r="J40" s="309"/>
      <c r="K40" s="308">
        <f t="shared" ref="K40" si="26">H40-E40</f>
        <v>0</v>
      </c>
      <c r="L40" s="308">
        <f t="shared" ref="L40" si="27">I40-F40</f>
        <v>0</v>
      </c>
      <c r="M40" s="302"/>
      <c r="N40" s="312">
        <f t="shared" ref="N40" si="28">K40/$N$10*-1</f>
        <v>0</v>
      </c>
      <c r="O40" s="312">
        <f t="shared" ref="O40" si="29">L40*$O$10/$N$10</f>
        <v>0</v>
      </c>
      <c r="P40" s="313">
        <f t="shared" ref="P40" si="30">N40+O40</f>
        <v>0</v>
      </c>
      <c r="R40" s="333"/>
      <c r="S40" s="309"/>
      <c r="T40" s="309"/>
      <c r="U40" s="577"/>
      <c r="V40" s="333"/>
      <c r="W40" s="333"/>
      <c r="X40" s="333"/>
      <c r="Y40" s="333"/>
      <c r="Z40" s="333"/>
      <c r="AA40" s="333"/>
      <c r="AB40" s="333"/>
    </row>
    <row r="41" spans="1:28" s="333" customFormat="1">
      <c r="A41" s="338">
        <f>'ADJ DETAIL INPUT'!AF$10</f>
        <v>3.0599999999999987</v>
      </c>
      <c r="B41" s="85" t="str">
        <f>TRIM(CONCATENATE('ADJ DETAIL INPUT'!AF$7," ",'ADJ DETAIL INPUT'!AF$8," ",'ADJ DETAIL INPUT'!AF$9))</f>
        <v>Pro Forma LEAP Deferral Amortization</v>
      </c>
      <c r="C41" s="311"/>
      <c r="D41" s="311"/>
      <c r="E41" s="87">
        <v>287.45137199999999</v>
      </c>
      <c r="F41" s="87">
        <v>-4202</v>
      </c>
      <c r="G41" s="87"/>
      <c r="H41" s="87">
        <f>'ADJ DETAIL INPUT'!AF$58</f>
        <v>287.45137199999999</v>
      </c>
      <c r="I41" s="87">
        <f>'ADJ DETAIL INPUT'!AF$81</f>
        <v>-4202</v>
      </c>
      <c r="J41" s="309"/>
      <c r="K41" s="308">
        <f t="shared" ref="K41" si="31">H41-E41</f>
        <v>0</v>
      </c>
      <c r="L41" s="308">
        <f t="shared" ref="L41" si="32">I41-F41</f>
        <v>0</v>
      </c>
      <c r="M41" s="330"/>
      <c r="N41" s="312">
        <f t="shared" ref="N41" si="33">K41/$N$10*-1</f>
        <v>0</v>
      </c>
      <c r="O41" s="312">
        <f t="shared" ref="O41" si="34">L41*$O$10/$N$10</f>
        <v>0</v>
      </c>
      <c r="P41" s="119">
        <f t="shared" ref="P41" si="35">N41+O41</f>
        <v>0</v>
      </c>
      <c r="Q41" s="309"/>
      <c r="R41" s="309"/>
      <c r="S41" s="309"/>
      <c r="T41" s="309"/>
      <c r="U41" s="577"/>
    </row>
    <row r="42" spans="1:28">
      <c r="A42" s="338">
        <f>'ADJ DETAIL INPUT'!AG$10</f>
        <v>3.0699999999999985</v>
      </c>
      <c r="B42" s="27" t="str">
        <f>TRIM(CONCATENATE('ADJ DETAIL INPUT'!AG$7," ",'ADJ DETAIL INPUT'!AG$8," ",'ADJ DETAIL INPUT'!AG$9))</f>
        <v>Pro Forma Non-Exec Labor &amp; Union Incentive</v>
      </c>
      <c r="C42" s="28"/>
      <c r="D42" s="28"/>
      <c r="E42" s="35">
        <v>-1431.7170000000001</v>
      </c>
      <c r="F42" s="35">
        <v>0</v>
      </c>
      <c r="G42" s="35"/>
      <c r="H42" s="35">
        <f>'ADJ DETAIL INPUT'!AG$58</f>
        <v>-1431.7170000000001</v>
      </c>
      <c r="I42" s="35">
        <f>'ADJ DETAIL INPUT'!AG$81</f>
        <v>0</v>
      </c>
      <c r="J42" s="22"/>
      <c r="K42" s="96">
        <f t="shared" ref="K42:K43" si="36">H42-E42</f>
        <v>0</v>
      </c>
      <c r="L42" s="96">
        <f t="shared" ref="L42:L43" si="37">I42-F42</f>
        <v>0</v>
      </c>
      <c r="N42" s="99">
        <f t="shared" ref="N42:N43" si="38">K42/$N$10*-1</f>
        <v>0</v>
      </c>
      <c r="O42" s="99">
        <f t="shared" ref="O42:O43" si="39">L42*$O$10/$N$10</f>
        <v>0</v>
      </c>
      <c r="P42" s="313">
        <f t="shared" ref="P42:P43" si="40">N42+O42</f>
        <v>0</v>
      </c>
      <c r="S42" s="122"/>
    </row>
    <row r="43" spans="1:28" ht="13.5" customHeight="1">
      <c r="A43" s="338">
        <f>'ADJ DETAIL INPUT'!AH$10</f>
        <v>3.0799999999999983</v>
      </c>
      <c r="B43" s="27" t="str">
        <f>TRIM(CONCATENATE('ADJ DETAIL INPUT'!AH$7," ",'ADJ DETAIL INPUT'!AH$8," ",'ADJ DETAIL INPUT'!AH$9))</f>
        <v>Pro Forma Labor Exec</v>
      </c>
      <c r="C43" s="28"/>
      <c r="D43" s="28"/>
      <c r="E43" s="35">
        <v>-15.8</v>
      </c>
      <c r="F43" s="35">
        <v>0</v>
      </c>
      <c r="G43" s="35"/>
      <c r="H43" s="35">
        <f>'ADJ DETAIL INPUT'!AH$58</f>
        <v>-15.8</v>
      </c>
      <c r="I43" s="35">
        <f>'ADJ DETAIL INPUT'!AH$81</f>
        <v>0</v>
      </c>
      <c r="J43" s="22"/>
      <c r="K43" s="96">
        <f t="shared" si="36"/>
        <v>0</v>
      </c>
      <c r="L43" s="96">
        <f t="shared" si="37"/>
        <v>0</v>
      </c>
      <c r="N43" s="99">
        <f t="shared" si="38"/>
        <v>0</v>
      </c>
      <c r="O43" s="99">
        <f t="shared" si="39"/>
        <v>0</v>
      </c>
      <c r="P43" s="313">
        <f t="shared" si="40"/>
        <v>0</v>
      </c>
      <c r="S43" s="122"/>
    </row>
    <row r="44" spans="1:28">
      <c r="A44" s="338">
        <f>'ADJ DETAIL INPUT'!AI$10</f>
        <v>3.0899999999999981</v>
      </c>
      <c r="B44" s="27" t="str">
        <f>TRIM(CONCATENATE('ADJ DETAIL INPUT'!AI$7," ",'ADJ DETAIL INPUT'!AI$8," ",'ADJ DETAIL INPUT'!AI$9))</f>
        <v>Pro Forma Employee Benefits</v>
      </c>
      <c r="C44" s="28"/>
      <c r="D44" s="28"/>
      <c r="E44" s="35">
        <v>94.8</v>
      </c>
      <c r="F44" s="35">
        <v>0</v>
      </c>
      <c r="G44" s="35"/>
      <c r="H44" s="35">
        <f>'ADJ DETAIL INPUT'!AI$58</f>
        <v>94.8</v>
      </c>
      <c r="I44" s="35">
        <f>'ADJ DETAIL INPUT'!AI$81</f>
        <v>0</v>
      </c>
      <c r="J44" s="22"/>
      <c r="K44" s="96">
        <f t="shared" ref="K44:L44" si="41">H44-E44</f>
        <v>0</v>
      </c>
      <c r="L44" s="96">
        <f t="shared" si="41"/>
        <v>0</v>
      </c>
      <c r="N44" s="99">
        <f>K44/$N$10*-1</f>
        <v>0</v>
      </c>
      <c r="O44" s="99">
        <f>L44*$O$10/$N$10</f>
        <v>0</v>
      </c>
      <c r="P44" s="313">
        <f>N44+O44</f>
        <v>0</v>
      </c>
      <c r="S44" s="122"/>
    </row>
    <row r="45" spans="1:28" s="958" customFormat="1">
      <c r="A45" s="338">
        <f>'ADJ DETAIL INPUT'!AJ$10</f>
        <v>3.0999999999999979</v>
      </c>
      <c r="B45" s="27" t="str">
        <f>TRIM(CONCATENATE('ADJ DETAIL INPUT'!AJ$7," ",'ADJ DETAIL INPUT'!AJ$8," ",'ADJ DETAIL INPUT'!AJ$9))</f>
        <v>Remove LIRAP Labor</v>
      </c>
      <c r="C45" s="960"/>
      <c r="D45" s="960"/>
      <c r="E45" s="35">
        <v>18.482050000000001</v>
      </c>
      <c r="F45" s="35">
        <v>0</v>
      </c>
      <c r="G45" s="35"/>
      <c r="H45" s="35">
        <f>'ADJ DETAIL INPUT'!AJ$58</f>
        <v>18.482050000000001</v>
      </c>
      <c r="I45" s="35">
        <f>'ADJ DETAIL INPUT'!AJ$81</f>
        <v>0</v>
      </c>
      <c r="J45" s="959"/>
      <c r="K45" s="963">
        <f t="shared" ref="K45" si="42">H45-E45</f>
        <v>0</v>
      </c>
      <c r="L45" s="963">
        <f t="shared" ref="L45" si="43">I45-F45</f>
        <v>0</v>
      </c>
      <c r="N45" s="970">
        <f>K45/$N$10*-1</f>
        <v>0</v>
      </c>
      <c r="O45" s="970">
        <f>L45*$O$10/$N$10</f>
        <v>0</v>
      </c>
      <c r="P45" s="971">
        <f>N45+O45</f>
        <v>0</v>
      </c>
      <c r="Q45" s="967"/>
      <c r="R45" s="967"/>
      <c r="S45" s="969"/>
      <c r="T45" s="959"/>
      <c r="U45" s="975"/>
    </row>
    <row r="46" spans="1:28">
      <c r="A46" s="338">
        <f>'ADJ DETAIL INPUT'!AK$10</f>
        <v>3.1099999999999977</v>
      </c>
      <c r="B46" s="27" t="str">
        <f>TRIM(CONCATENATE('ADJ DETAIL INPUT'!AK$7," ",'ADJ DETAIL INPUT'!AK$8," ",'ADJ DETAIL INPUT'!AK$9))</f>
        <v>Pro Forma Property Tax</v>
      </c>
      <c r="C46" s="28"/>
      <c r="D46" s="28"/>
      <c r="E46" s="35">
        <v>-457.41</v>
      </c>
      <c r="F46" s="35">
        <v>0</v>
      </c>
      <c r="G46" s="35"/>
      <c r="H46" s="35">
        <f>'ADJ DETAIL INPUT'!AK$58</f>
        <v>-457.41</v>
      </c>
      <c r="I46" s="35">
        <f>'ADJ DETAIL INPUT'!AK$81</f>
        <v>0</v>
      </c>
      <c r="J46" s="22"/>
      <c r="K46" s="96">
        <f t="shared" ref="K46" si="44">H46-E46</f>
        <v>0</v>
      </c>
      <c r="L46" s="96">
        <f t="shared" ref="L46" si="45">I46-F46</f>
        <v>0</v>
      </c>
      <c r="N46" s="99">
        <f>K46/$N$10*-1</f>
        <v>0</v>
      </c>
      <c r="O46" s="99">
        <f>L46*$O$10/$N$10</f>
        <v>0</v>
      </c>
      <c r="P46" s="119">
        <f>N46+O46</f>
        <v>0</v>
      </c>
      <c r="Q46" s="309"/>
      <c r="R46" s="309"/>
      <c r="S46" s="122"/>
    </row>
    <row r="47" spans="1:28" s="90" customFormat="1">
      <c r="A47" s="338">
        <f>'ADJ DETAIL INPUT'!AL$10</f>
        <v>3.1199999999999974</v>
      </c>
      <c r="B47" s="85" t="str">
        <f>TRIM(CONCATENATE('ADJ DETAIL INPUT'!AL$7," ",'ADJ DETAIL INPUT'!AL$8," ",'ADJ DETAIL INPUT'!AL$9))</f>
        <v>Pro Forma Insurance Expense</v>
      </c>
      <c r="C47" s="86"/>
      <c r="D47" s="86"/>
      <c r="E47" s="87">
        <v>-397.37</v>
      </c>
      <c r="F47" s="87">
        <v>0</v>
      </c>
      <c r="G47" s="87"/>
      <c r="H47" s="87">
        <f>'ADJ DETAIL INPUT'!AL$58</f>
        <v>-397.37</v>
      </c>
      <c r="I47" s="87">
        <f>'ADJ DETAIL INPUT'!AL$81</f>
        <v>0</v>
      </c>
      <c r="J47" s="91"/>
      <c r="K47" s="96">
        <f t="shared" ref="K47" si="46">H47-E47</f>
        <v>0</v>
      </c>
      <c r="L47" s="96">
        <f t="shared" ref="L47" si="47">I47-F47</f>
        <v>0</v>
      </c>
      <c r="M47" s="98"/>
      <c r="N47" s="99">
        <f>K47/$N$10*-1</f>
        <v>0</v>
      </c>
      <c r="O47" s="99">
        <f>L47*$O$10/$N$10</f>
        <v>0</v>
      </c>
      <c r="P47" s="119">
        <f>N47+O47</f>
        <v>0</v>
      </c>
      <c r="Q47" s="91"/>
      <c r="R47" s="309"/>
      <c r="S47" s="122"/>
      <c r="T47" s="309"/>
      <c r="U47" s="577"/>
      <c r="V47" s="333"/>
      <c r="W47" s="333"/>
      <c r="X47" s="333"/>
      <c r="Y47" s="333"/>
      <c r="Z47" s="333"/>
      <c r="AA47" s="333"/>
      <c r="AB47" s="333"/>
    </row>
    <row r="48" spans="1:28" s="333" customFormat="1">
      <c r="A48" s="535">
        <f>'ADJ DETAIL INPUT'!AM$10</f>
        <v>3.1299999999999972</v>
      </c>
      <c r="B48" s="350" t="str">
        <f>TRIM(CONCATENATE('ADJ DETAIL INPUT'!AM$7," ",'ADJ DETAIL INPUT'!AM$8," ",'ADJ DETAIL INPUT'!AM$9))</f>
        <v>Pro Forma IS/IT Expense</v>
      </c>
      <c r="C48" s="118"/>
      <c r="D48" s="118"/>
      <c r="E48" s="346">
        <v>-293.09000000000003</v>
      </c>
      <c r="F48" s="346">
        <v>0</v>
      </c>
      <c r="G48" s="346"/>
      <c r="H48" s="346">
        <f>'ADJ DETAIL INPUT'!AM$58</f>
        <v>-293.09000000000003</v>
      </c>
      <c r="I48" s="346">
        <f>'ADJ DETAIL INPUT'!AM$81</f>
        <v>0</v>
      </c>
      <c r="J48" s="309"/>
      <c r="K48" s="347">
        <f t="shared" ref="K48" si="48">H48-E48</f>
        <v>0</v>
      </c>
      <c r="L48" s="347">
        <f t="shared" ref="L48" si="49">I48-F48</f>
        <v>0</v>
      </c>
      <c r="M48" s="303"/>
      <c r="N48" s="348">
        <f t="shared" ref="N48" si="50">K48/$N$10*-1</f>
        <v>0</v>
      </c>
      <c r="O48" s="348">
        <f t="shared" ref="O48" si="51">L48*$O$10/$N$10</f>
        <v>0</v>
      </c>
      <c r="P48" s="119">
        <f t="shared" ref="P48" si="52">N48+O48</f>
        <v>0</v>
      </c>
      <c r="Q48" s="309"/>
      <c r="R48" s="309"/>
      <c r="S48" s="309"/>
      <c r="T48" s="309"/>
      <c r="U48" s="577"/>
    </row>
    <row r="49" spans="1:28" s="967" customFormat="1">
      <c r="A49" s="535">
        <f>'ADJ DETAIL INPUT'!AN$10</f>
        <v>3.139999999999997</v>
      </c>
      <c r="B49" s="350" t="str">
        <f>TRIM(CONCATENATE('ADJ DETAIL INPUT'!AN$7," ",'ADJ DETAIL INPUT'!AN$8," ",'ADJ DETAIL INPUT'!AN$9))</f>
        <v>Pro Forma Misc O&amp;M Exp</v>
      </c>
      <c r="C49" s="118"/>
      <c r="D49" s="118"/>
      <c r="E49" s="346">
        <v>-1777.08762</v>
      </c>
      <c r="F49" s="346">
        <v>0</v>
      </c>
      <c r="G49" s="346"/>
      <c r="H49" s="346">
        <f>'ADJ DETAIL INPUT'!AN$58</f>
        <v>-1777.08762</v>
      </c>
      <c r="I49" s="346">
        <f>'ADJ DETAIL INPUT'!AN$81</f>
        <v>0</v>
      </c>
      <c r="J49" s="966"/>
      <c r="K49" s="347">
        <f t="shared" ref="K49:K50" si="53">H49-E49</f>
        <v>0</v>
      </c>
      <c r="L49" s="347">
        <f t="shared" ref="L49:L50" si="54">I49-F49</f>
        <v>0</v>
      </c>
      <c r="M49" s="959"/>
      <c r="N49" s="348">
        <f t="shared" ref="N49:N50" si="55">K49/$N$10*-1</f>
        <v>0</v>
      </c>
      <c r="O49" s="348">
        <f t="shared" ref="O49:O50" si="56">L49*$O$10/$N$10</f>
        <v>0</v>
      </c>
      <c r="P49" s="972">
        <f t="shared" ref="P49:P50" si="57">N49+O49</f>
        <v>0</v>
      </c>
      <c r="Q49" s="966"/>
      <c r="R49" s="966"/>
      <c r="S49" s="966"/>
      <c r="T49" s="966"/>
      <c r="U49" s="973"/>
    </row>
    <row r="50" spans="1:28" s="967" customFormat="1">
      <c r="A50" s="535">
        <f>'ADJ DETAIL INPUT'!AO$10</f>
        <v>3.1499999999999968</v>
      </c>
      <c r="B50" s="350" t="str">
        <f>TRIM(CONCATENATE('ADJ DETAIL INPUT'!AO$7," ",'ADJ DETAIL INPUT'!AO$8," ",'ADJ DETAIL INPUT'!AO$9))</f>
        <v>Pro Form 09.2021 EOP Rate Base to 12.31.2021 EOP</v>
      </c>
      <c r="C50" s="118"/>
      <c r="D50" s="118"/>
      <c r="E50" s="346">
        <v>-332.70432800000003</v>
      </c>
      <c r="F50" s="346">
        <v>10748</v>
      </c>
      <c r="G50" s="346"/>
      <c r="H50" s="346">
        <f>'ADJ DETAIL INPUT'!AO$58</f>
        <v>-332.70432800000003</v>
      </c>
      <c r="I50" s="346">
        <f>'ADJ DETAIL INPUT'!AO$81</f>
        <v>10748</v>
      </c>
      <c r="J50" s="966"/>
      <c r="K50" s="347">
        <f t="shared" si="53"/>
        <v>0</v>
      </c>
      <c r="L50" s="347">
        <f t="shared" si="54"/>
        <v>0</v>
      </c>
      <c r="M50" s="959"/>
      <c r="N50" s="348">
        <f t="shared" si="55"/>
        <v>0</v>
      </c>
      <c r="O50" s="348">
        <f t="shared" si="56"/>
        <v>0</v>
      </c>
      <c r="P50" s="972">
        <f t="shared" si="57"/>
        <v>0</v>
      </c>
      <c r="Q50" s="966"/>
      <c r="R50" s="966"/>
      <c r="S50" s="966"/>
      <c r="T50" s="966"/>
      <c r="U50" s="973"/>
    </row>
    <row r="51" spans="1:28" s="89" customFormat="1">
      <c r="A51" s="338">
        <f>'ADJ DETAIL INPUT'!AP$10</f>
        <v>4.01</v>
      </c>
      <c r="B51" s="85" t="str">
        <f>TRIM(CONCATENATE('ADJ DETAIL INPUT'!AP$7," ",'ADJ DETAIL INPUT'!AP$8," ",'ADJ DETAIL INPUT'!AP$9))</f>
        <v>Provisional Capital Groups 2022 Additions EOP</v>
      </c>
      <c r="C51" s="86"/>
      <c r="D51" s="86"/>
      <c r="E51" s="87">
        <v>-329.200354</v>
      </c>
      <c r="F51" s="87">
        <v>32039</v>
      </c>
      <c r="G51" s="87"/>
      <c r="H51" s="87">
        <f>'ADJ DETAIL INPUT'!AP$58</f>
        <v>-329.200354</v>
      </c>
      <c r="I51" s="87">
        <f>'ADJ DETAIL INPUT'!AP$81</f>
        <v>32039</v>
      </c>
      <c r="J51" s="88"/>
      <c r="K51" s="96">
        <f t="shared" ref="K51" si="58">H51-E51</f>
        <v>0</v>
      </c>
      <c r="L51" s="96">
        <f t="shared" ref="L51" si="59">I51-F51</f>
        <v>0</v>
      </c>
      <c r="M51" s="11"/>
      <c r="N51" s="99">
        <f t="shared" ref="N51" si="60">K51/$N$10*-1</f>
        <v>0</v>
      </c>
      <c r="O51" s="99">
        <f t="shared" ref="O51" si="61">L51*$O$10/$N$10</f>
        <v>0</v>
      </c>
      <c r="P51" s="119">
        <f t="shared" ref="P51" si="62">N51+O51</f>
        <v>0</v>
      </c>
      <c r="Q51" s="309"/>
      <c r="R51" s="309"/>
      <c r="S51" s="309"/>
      <c r="T51" s="309"/>
      <c r="U51" s="577"/>
      <c r="V51" s="333"/>
      <c r="W51" s="333"/>
      <c r="X51" s="333"/>
      <c r="Y51" s="333"/>
      <c r="Z51" s="333"/>
      <c r="AA51" s="333"/>
      <c r="AB51" s="333"/>
    </row>
    <row r="52" spans="1:28" s="333" customFormat="1">
      <c r="A52" s="338">
        <f>'ADJ DETAIL INPUT'!AQ$10</f>
        <v>4.0199999999999996</v>
      </c>
      <c r="B52" s="85" t="str">
        <f>TRIM(CONCATENATE('ADJ DETAIL INPUT'!AQ$7," ",'ADJ DETAIL INPUT'!AQ$8," ",'ADJ DETAIL INPUT'!AQ$9))</f>
        <v>Provisional Capital Groups 2023 Additions AMA</v>
      </c>
      <c r="C52" s="311"/>
      <c r="D52" s="311"/>
      <c r="E52" s="87">
        <v>-513.52148199999999</v>
      </c>
      <c r="F52" s="87">
        <v>6587</v>
      </c>
      <c r="G52" s="87"/>
      <c r="H52" s="87">
        <f>'ADJ DETAIL INPUT'!AQ$58</f>
        <v>-513.52148199999999</v>
      </c>
      <c r="I52" s="87">
        <f>'ADJ DETAIL INPUT'!AQ$81</f>
        <v>6587</v>
      </c>
      <c r="J52" s="309"/>
      <c r="K52" s="308">
        <f t="shared" ref="K52:K53" si="63">H52-E52</f>
        <v>0</v>
      </c>
      <c r="L52" s="308">
        <f t="shared" ref="L52:L53" si="64">I52-F52</f>
        <v>0</v>
      </c>
      <c r="M52" s="330"/>
      <c r="N52" s="312">
        <f t="shared" ref="N52:N53" si="65">K52/$N$10*-1</f>
        <v>0</v>
      </c>
      <c r="O52" s="312">
        <f t="shared" ref="O52:O53" si="66">L52*$O$10/$N$10</f>
        <v>0</v>
      </c>
      <c r="P52" s="119">
        <f t="shared" ref="P52:P53" si="67">N52+O52</f>
        <v>0</v>
      </c>
      <c r="Q52" s="309"/>
      <c r="R52" s="309"/>
      <c r="S52" s="309"/>
      <c r="T52" s="309"/>
      <c r="U52" s="577"/>
    </row>
    <row r="53" spans="1:28" s="333" customFormat="1">
      <c r="A53" s="338">
        <f>'ADJ DETAIL INPUT'!AR$10</f>
        <v>4.0299999999999994</v>
      </c>
      <c r="B53" s="85" t="str">
        <f>TRIM(CONCATENATE('ADJ DETAIL INPUT'!AR$7," ",'ADJ DETAIL INPUT'!AR$8," ",'ADJ DETAIL INPUT'!AR$9))</f>
        <v>2022-2023 Capital O&amp;M Offsets &amp; Revenue</v>
      </c>
      <c r="C53" s="311"/>
      <c r="D53" s="311"/>
      <c r="E53" s="87">
        <v>2753.94</v>
      </c>
      <c r="F53" s="87">
        <v>0</v>
      </c>
      <c r="G53" s="87"/>
      <c r="H53" s="87">
        <f>'ADJ DETAIL INPUT'!AR$58</f>
        <v>2753.94</v>
      </c>
      <c r="I53" s="87">
        <f>'ADJ DETAIL INPUT'!AR$81</f>
        <v>0</v>
      </c>
      <c r="J53" s="309"/>
      <c r="K53" s="308">
        <f t="shared" si="63"/>
        <v>0</v>
      </c>
      <c r="L53" s="308">
        <f t="shared" si="64"/>
        <v>0</v>
      </c>
      <c r="M53" s="330"/>
      <c r="N53" s="312">
        <f t="shared" si="65"/>
        <v>0</v>
      </c>
      <c r="O53" s="312">
        <f t="shared" si="66"/>
        <v>0</v>
      </c>
      <c r="P53" s="119">
        <f t="shared" si="67"/>
        <v>0</v>
      </c>
      <c r="Q53" s="309"/>
      <c r="R53" s="309"/>
      <c r="S53" s="309"/>
      <c r="T53" s="309"/>
      <c r="U53" s="577"/>
    </row>
    <row r="54" spans="1:28" s="310" customFormat="1" hidden="1">
      <c r="A54" s="338">
        <f>'ADJ DETAIL INPUT'!AS$10</f>
        <v>4.0399999999999991</v>
      </c>
      <c r="B54" s="85" t="str">
        <f>TRIM(CONCATENATE('ADJ DETAIL INPUT'!AS$7," ",'ADJ DETAIL INPUT'!AS$8," ",'ADJ DETAIL INPUT'!AS$9))</f>
        <v>Pro Forma Open</v>
      </c>
      <c r="C54" s="311"/>
      <c r="D54" s="311"/>
      <c r="E54" s="87"/>
      <c r="F54" s="87"/>
      <c r="G54" s="87"/>
      <c r="H54" s="87">
        <f>'ADJ DETAIL INPUT'!AS$58</f>
        <v>0</v>
      </c>
      <c r="I54" s="87">
        <f>'ADJ DETAIL INPUT'!AS$81</f>
        <v>0</v>
      </c>
      <c r="J54" s="309"/>
      <c r="K54" s="308">
        <f t="shared" ref="K54" si="68">H54-E54</f>
        <v>0</v>
      </c>
      <c r="L54" s="308">
        <f t="shared" ref="L54" si="69">I54-F54</f>
        <v>0</v>
      </c>
      <c r="M54" s="302"/>
      <c r="N54" s="312">
        <f t="shared" ref="N54" si="70">K54/$N$10*-1</f>
        <v>0</v>
      </c>
      <c r="O54" s="312">
        <f t="shared" ref="O54" si="71">L54*$O$10/$N$10</f>
        <v>0</v>
      </c>
      <c r="P54" s="119">
        <f t="shared" ref="P54" si="72">N54+O54</f>
        <v>0</v>
      </c>
      <c r="Q54" s="309"/>
      <c r="R54" s="309"/>
      <c r="S54" s="309"/>
      <c r="T54" s="309"/>
      <c r="U54" s="577"/>
      <c r="V54" s="333"/>
      <c r="W54" s="333"/>
      <c r="X54" s="333"/>
      <c r="Y54" s="333"/>
      <c r="Z54" s="333"/>
      <c r="AA54" s="333"/>
      <c r="AB54" s="333"/>
    </row>
    <row r="55" spans="1:28" s="89" customFormat="1" hidden="1">
      <c r="A55" s="338"/>
      <c r="B55" s="85"/>
      <c r="C55" s="86"/>
      <c r="D55" s="86"/>
      <c r="E55" s="29"/>
      <c r="F55" s="29"/>
      <c r="G55" s="87"/>
      <c r="H55" s="87"/>
      <c r="I55" s="87"/>
      <c r="J55" s="88"/>
      <c r="K55" s="96"/>
      <c r="L55" s="96"/>
      <c r="M55" s="11"/>
      <c r="N55" s="99"/>
      <c r="O55" s="99"/>
      <c r="P55" s="313"/>
      <c r="R55" s="333"/>
      <c r="S55" s="309"/>
      <c r="T55" s="309"/>
      <c r="U55" s="577"/>
      <c r="V55" s="333"/>
      <c r="W55" s="333"/>
      <c r="X55" s="333"/>
      <c r="Y55" s="333"/>
      <c r="Z55" s="333"/>
      <c r="AA55" s="333"/>
      <c r="AB55" s="333"/>
    </row>
    <row r="56" spans="1:28" ht="16.5" customHeight="1" thickBot="1">
      <c r="A56" s="338"/>
      <c r="B56" s="11" t="s">
        <v>666</v>
      </c>
      <c r="E56" s="34">
        <f>SUM(E34:E55)</f>
        <v>29390.826873999988</v>
      </c>
      <c r="F56" s="34">
        <f>SUM(F34:F55)</f>
        <v>514942</v>
      </c>
      <c r="G56" s="101"/>
      <c r="H56" s="34">
        <f>SUM(H34:H55)</f>
        <v>29390.826873999988</v>
      </c>
      <c r="I56" s="34">
        <f>SUM(I34:I55)</f>
        <v>514942</v>
      </c>
      <c r="J56" s="22"/>
      <c r="K56" s="34">
        <f>SUM(K34:K55)</f>
        <v>0</v>
      </c>
      <c r="L56" s="34">
        <f>SUM(L34:L55)</f>
        <v>0</v>
      </c>
      <c r="M56" s="101"/>
      <c r="N56" s="34">
        <f>SUM(N34:N55)</f>
        <v>0</v>
      </c>
      <c r="O56" s="34">
        <f>SUM(O34:O55)</f>
        <v>0</v>
      </c>
      <c r="P56" s="309"/>
      <c r="Q56" s="88"/>
      <c r="R56" s="309"/>
      <c r="S56" s="123"/>
      <c r="T56" s="353"/>
      <c r="V56" s="303"/>
    </row>
    <row r="57" spans="1:28" ht="13.5" thickTop="1">
      <c r="A57" s="33"/>
      <c r="D57" s="31"/>
      <c r="E57" s="31"/>
      <c r="H57" s="124"/>
      <c r="I57" s="124"/>
      <c r="J57" s="22"/>
      <c r="K57" s="96"/>
      <c r="L57" s="96"/>
      <c r="O57" s="21">
        <f>N56+O56</f>
        <v>0</v>
      </c>
      <c r="P57" s="309"/>
      <c r="Q57" s="88"/>
      <c r="R57" s="309"/>
      <c r="S57" s="309"/>
      <c r="V57" s="303"/>
    </row>
    <row r="58" spans="1:28">
      <c r="A58" s="339"/>
      <c r="B58" s="85"/>
      <c r="D58" s="31"/>
      <c r="E58" s="31"/>
      <c r="F58" s="32"/>
      <c r="H58" s="31"/>
      <c r="I58" s="354"/>
      <c r="J58" s="22"/>
      <c r="K58" s="83"/>
      <c r="N58" s="100" t="s">
        <v>664</v>
      </c>
      <c r="O58" s="349"/>
      <c r="P58" s="309"/>
      <c r="Q58" s="88"/>
      <c r="R58" s="309"/>
      <c r="S58" s="119"/>
      <c r="V58" s="303"/>
    </row>
    <row r="59" spans="1:28" ht="13.5" thickBot="1">
      <c r="A59" s="84"/>
      <c r="B59" s="27"/>
      <c r="D59" s="31"/>
      <c r="E59" s="31"/>
      <c r="F59" s="32"/>
      <c r="H59" s="31"/>
      <c r="J59" s="22"/>
      <c r="N59" s="100" t="s">
        <v>164</v>
      </c>
      <c r="O59" s="117">
        <f>SUM(O57:O58)</f>
        <v>0</v>
      </c>
      <c r="P59" s="309"/>
      <c r="Q59" s="88"/>
      <c r="R59" s="120"/>
      <c r="S59" s="309"/>
      <c r="V59" s="303"/>
    </row>
    <row r="60" spans="1:28" ht="13.5" thickTop="1">
      <c r="A60" s="26"/>
      <c r="B60" s="27"/>
      <c r="D60" s="31"/>
      <c r="E60" s="31"/>
      <c r="F60" s="32"/>
      <c r="H60" s="31"/>
      <c r="J60" s="22"/>
      <c r="N60" s="100" t="s">
        <v>527</v>
      </c>
      <c r="O60" s="941">
        <v>10922</v>
      </c>
      <c r="P60" s="309"/>
      <c r="Q60" s="88"/>
      <c r="R60" s="309"/>
      <c r="S60" s="309"/>
      <c r="V60" s="303"/>
    </row>
    <row r="61" spans="1:28" ht="13.5" thickBot="1">
      <c r="A61" s="26"/>
      <c r="B61" s="27"/>
      <c r="D61" s="31"/>
      <c r="E61" s="31"/>
      <c r="F61" s="32"/>
      <c r="H61" s="31"/>
      <c r="J61" s="22"/>
      <c r="N61" s="100" t="s">
        <v>166</v>
      </c>
      <c r="O61" s="34">
        <f>O60+O59</f>
        <v>10922</v>
      </c>
      <c r="P61" s="309"/>
      <c r="Q61" s="88"/>
      <c r="R61" s="309"/>
      <c r="S61" s="309"/>
      <c r="V61" s="303"/>
    </row>
    <row r="62" spans="1:28" ht="13.5" thickTop="1">
      <c r="A62" s="26"/>
      <c r="B62" s="27"/>
      <c r="D62" s="31"/>
      <c r="H62" s="31"/>
      <c r="J62" s="22"/>
      <c r="N62" s="121"/>
      <c r="O62" s="119">
        <f>'RR SUMMARY'!F23</f>
        <v>10922</v>
      </c>
      <c r="P62" s="119">
        <f>O61-O62</f>
        <v>0</v>
      </c>
      <c r="Q62" s="88"/>
      <c r="R62" s="121"/>
      <c r="S62" s="309"/>
      <c r="V62" s="303"/>
    </row>
    <row r="63" spans="1:28">
      <c r="A63" s="976" t="s">
        <v>659</v>
      </c>
      <c r="D63" s="31"/>
      <c r="E63" s="31"/>
      <c r="F63" s="114"/>
      <c r="H63" s="31"/>
      <c r="J63" s="22"/>
      <c r="N63" s="121"/>
      <c r="O63" s="119"/>
      <c r="P63" s="309"/>
      <c r="Q63" s="88"/>
      <c r="R63" s="121"/>
      <c r="S63" s="309"/>
      <c r="V63" s="303"/>
    </row>
    <row r="64" spans="1:28" s="983" customFormat="1">
      <c r="A64" s="338">
        <f>'ADJ DETAIL INPUT'!AV$10</f>
        <v>5</v>
      </c>
      <c r="B64" s="85" t="str">
        <f>TRIM(CONCATENATE('ADJ DETAIL INPUT'!AV$7," ",'ADJ DETAIL INPUT'!AV$8," ",'ADJ DETAIL INPUT'!AV$9))</f>
        <v>Pro Forma 2024 ARAM DFIT</v>
      </c>
      <c r="C64" s="968"/>
      <c r="D64" s="968"/>
      <c r="E64" s="87">
        <v>-169</v>
      </c>
      <c r="F64" s="87">
        <v>0</v>
      </c>
      <c r="G64" s="87"/>
      <c r="H64" s="87">
        <f>'ADJ DETAIL INPUT'!AV$58</f>
        <v>-169</v>
      </c>
      <c r="I64" s="87">
        <f>'ADJ DETAIL INPUT'!AV$81</f>
        <v>0</v>
      </c>
      <c r="J64" s="982"/>
      <c r="K64" s="980">
        <f>H64-E64</f>
        <v>0</v>
      </c>
      <c r="L64" s="980">
        <f>I64-F64</f>
        <v>0</v>
      </c>
      <c r="M64" s="978"/>
      <c r="N64" s="984">
        <f>K64/$N$10*-1</f>
        <v>0</v>
      </c>
      <c r="O64" s="984">
        <f>L64*$O$10/$N$10</f>
        <v>0</v>
      </c>
      <c r="P64" s="991">
        <f>N64+O64</f>
        <v>0</v>
      </c>
      <c r="Q64" s="982"/>
      <c r="R64" s="982"/>
      <c r="S64" s="982"/>
      <c r="T64" s="982"/>
      <c r="U64" s="973"/>
    </row>
    <row r="65" spans="1:21" s="967" customFormat="1">
      <c r="A65" s="338">
        <f>'ADJ DETAIL INPUT'!AW$10</f>
        <v>5.01</v>
      </c>
      <c r="B65" s="85" t="str">
        <f>TRIM(CONCATENATE('ADJ DETAIL INPUT'!AW$7," ",'ADJ DETAIL INPUT'!AW$8," ",'ADJ DETAIL INPUT'!AW$9))</f>
        <v>Pro Forma 2024 AMI Amortization</v>
      </c>
      <c r="C65" s="968"/>
      <c r="D65" s="968"/>
      <c r="E65" s="87">
        <v>204.39292800000001</v>
      </c>
      <c r="F65" s="87">
        <v>-848</v>
      </c>
      <c r="G65" s="87"/>
      <c r="H65" s="87">
        <f>'ADJ DETAIL INPUT'!AW$58</f>
        <v>204.39292800000001</v>
      </c>
      <c r="I65" s="87">
        <f>'ADJ DETAIL INPUT'!AW$81</f>
        <v>-848</v>
      </c>
      <c r="J65" s="966"/>
      <c r="K65" s="963">
        <f t="shared" ref="K65" si="73">H65-E65</f>
        <v>0</v>
      </c>
      <c r="L65" s="963">
        <f t="shared" ref="L65" si="74">I65-F65</f>
        <v>0</v>
      </c>
      <c r="M65" s="958"/>
      <c r="N65" s="970">
        <f t="shared" ref="N65" si="75">K65/$N$10*-1</f>
        <v>0</v>
      </c>
      <c r="O65" s="970">
        <f t="shared" ref="O65" si="76">L65*$O$10/$N$10</f>
        <v>0</v>
      </c>
      <c r="P65" s="972">
        <f t="shared" ref="P65" si="77">N65+O65</f>
        <v>0</v>
      </c>
      <c r="Q65" s="966"/>
      <c r="R65" s="966"/>
      <c r="S65" s="966"/>
      <c r="T65" s="966"/>
      <c r="U65" s="973"/>
    </row>
    <row r="66" spans="1:21" s="983" customFormat="1">
      <c r="A66" s="338">
        <f>'ADJ DETAIL INPUT'!AX$10</f>
        <v>5.0199999999999996</v>
      </c>
      <c r="B66" s="85" t="str">
        <f>TRIM(CONCATENATE('ADJ DETAIL INPUT'!AX$7," ",'ADJ DETAIL INPUT'!AX$8," ",'ADJ DETAIL INPUT'!AX$9))</f>
        <v>Pro Forma Non-Exec Labor &amp; Union Incentive</v>
      </c>
      <c r="C66" s="968"/>
      <c r="D66" s="968"/>
      <c r="E66" s="87">
        <v>-436.15899999999999</v>
      </c>
      <c r="F66" s="87">
        <v>0</v>
      </c>
      <c r="G66" s="87"/>
      <c r="H66" s="87">
        <f>'ADJ DETAIL INPUT'!AX$58</f>
        <v>-436.15899999999999</v>
      </c>
      <c r="I66" s="87">
        <f>'ADJ DETAIL INPUT'!AX$81</f>
        <v>0</v>
      </c>
      <c r="J66" s="982"/>
      <c r="K66" s="980">
        <f t="shared" ref="K66:K73" si="78">H66-E66</f>
        <v>0</v>
      </c>
      <c r="L66" s="980">
        <f t="shared" ref="L66:L73" si="79">I66-F66</f>
        <v>0</v>
      </c>
      <c r="M66" s="978"/>
      <c r="N66" s="984">
        <f t="shared" ref="N66:N73" si="80">K66/$N$10*-1</f>
        <v>0</v>
      </c>
      <c r="O66" s="984">
        <f t="shared" ref="O66:O73" si="81">L66*$O$10/$N$10</f>
        <v>0</v>
      </c>
      <c r="P66" s="991">
        <f t="shared" ref="P66:P73" si="82">N66+O66</f>
        <v>0</v>
      </c>
      <c r="Q66" s="982"/>
      <c r="R66" s="982"/>
      <c r="S66" s="982"/>
      <c r="T66" s="982"/>
      <c r="U66" s="973"/>
    </row>
    <row r="67" spans="1:21" s="983" customFormat="1">
      <c r="A67" s="338">
        <f>'ADJ DETAIL INPUT'!AY$10</f>
        <v>5.0299999999999994</v>
      </c>
      <c r="B67" s="85" t="str">
        <f>TRIM(CONCATENATE('ADJ DETAIL INPUT'!AY$7," ",'ADJ DETAIL INPUT'!AY$8," ",'ADJ DETAIL INPUT'!AY$9))</f>
        <v>Pro Forma Employee Benefits</v>
      </c>
      <c r="C67" s="968"/>
      <c r="D67" s="968"/>
      <c r="E67" s="87">
        <v>-111.39</v>
      </c>
      <c r="F67" s="87">
        <v>0</v>
      </c>
      <c r="G67" s="87"/>
      <c r="H67" s="87">
        <f>'ADJ DETAIL INPUT'!AY$58</f>
        <v>-111.39</v>
      </c>
      <c r="I67" s="87">
        <f>'ADJ DETAIL INPUT'!AY$81</f>
        <v>0</v>
      </c>
      <c r="J67" s="982"/>
      <c r="K67" s="980">
        <f t="shared" si="78"/>
        <v>0</v>
      </c>
      <c r="L67" s="980">
        <f t="shared" si="79"/>
        <v>0</v>
      </c>
      <c r="M67" s="978"/>
      <c r="N67" s="984">
        <f t="shared" si="80"/>
        <v>0</v>
      </c>
      <c r="O67" s="984">
        <f t="shared" si="81"/>
        <v>0</v>
      </c>
      <c r="P67" s="991">
        <f t="shared" si="82"/>
        <v>0</v>
      </c>
      <c r="Q67" s="982"/>
      <c r="R67" s="982"/>
      <c r="S67" s="982"/>
      <c r="T67" s="982"/>
      <c r="U67" s="973"/>
    </row>
    <row r="68" spans="1:21" s="983" customFormat="1">
      <c r="A68" s="338">
        <f>'ADJ DETAIL INPUT'!AZ$10</f>
        <v>5.0399999999999991</v>
      </c>
      <c r="B68" s="85" t="str">
        <f>TRIM(CONCATENATE('ADJ DETAIL INPUT'!AZ$7," ",'ADJ DETAIL INPUT'!AZ$8," ",'ADJ DETAIL INPUT'!AZ$9))</f>
        <v>Pro Forma Property Tax</v>
      </c>
      <c r="C68" s="968"/>
      <c r="D68" s="968"/>
      <c r="E68" s="87">
        <v>-206.98000000000002</v>
      </c>
      <c r="F68" s="87">
        <v>0</v>
      </c>
      <c r="G68" s="87"/>
      <c r="H68" s="87">
        <f>'ADJ DETAIL INPUT'!AZ$58</f>
        <v>-206.98000000000002</v>
      </c>
      <c r="I68" s="87">
        <f>'ADJ DETAIL INPUT'!AZ$81</f>
        <v>0</v>
      </c>
      <c r="J68" s="982"/>
      <c r="K68" s="980">
        <f t="shared" si="78"/>
        <v>0</v>
      </c>
      <c r="L68" s="980">
        <f t="shared" si="79"/>
        <v>0</v>
      </c>
      <c r="M68" s="978"/>
      <c r="N68" s="984">
        <f t="shared" si="80"/>
        <v>0</v>
      </c>
      <c r="O68" s="984">
        <f t="shared" si="81"/>
        <v>0</v>
      </c>
      <c r="P68" s="991">
        <f t="shared" si="82"/>
        <v>0</v>
      </c>
      <c r="Q68" s="982"/>
      <c r="R68" s="982"/>
      <c r="S68" s="982"/>
      <c r="T68" s="982"/>
      <c r="U68" s="973"/>
    </row>
    <row r="69" spans="1:21" s="983" customFormat="1">
      <c r="A69" s="338">
        <f>'ADJ DETAIL INPUT'!BA$10</f>
        <v>5.0499999999999989</v>
      </c>
      <c r="B69" s="85" t="str">
        <f>TRIM(CONCATENATE('ADJ DETAIL INPUT'!BA$7," ",'ADJ DETAIL INPUT'!BA$8," ",'ADJ DETAIL INPUT'!BA$9))</f>
        <v>Pro Forma Insurance Expense</v>
      </c>
      <c r="C69" s="968"/>
      <c r="D69" s="968"/>
      <c r="E69" s="87">
        <v>-79.789999999999992</v>
      </c>
      <c r="F69" s="87">
        <v>0</v>
      </c>
      <c r="G69" s="87"/>
      <c r="H69" s="87">
        <f>'ADJ DETAIL INPUT'!BA$58</f>
        <v>-79.789999999999992</v>
      </c>
      <c r="I69" s="87">
        <f>'ADJ DETAIL INPUT'!BA$81</f>
        <v>0</v>
      </c>
      <c r="J69" s="982"/>
      <c r="K69" s="980">
        <f t="shared" si="78"/>
        <v>0</v>
      </c>
      <c r="L69" s="980">
        <f t="shared" si="79"/>
        <v>0</v>
      </c>
      <c r="M69" s="978"/>
      <c r="N69" s="984">
        <f t="shared" si="80"/>
        <v>0</v>
      </c>
      <c r="O69" s="984">
        <f t="shared" si="81"/>
        <v>0</v>
      </c>
      <c r="P69" s="991">
        <f t="shared" si="82"/>
        <v>0</v>
      </c>
      <c r="Q69" s="982"/>
      <c r="R69" s="982"/>
      <c r="S69" s="982"/>
      <c r="T69" s="982"/>
      <c r="U69" s="973"/>
    </row>
    <row r="70" spans="1:21" s="983" customFormat="1">
      <c r="A70" s="338">
        <f>'ADJ DETAIL INPUT'!BB$10</f>
        <v>5.0599999999999987</v>
      </c>
      <c r="B70" s="85" t="str">
        <f>TRIM(CONCATENATE('ADJ DETAIL INPUT'!BB$7," ",'ADJ DETAIL INPUT'!BB$8," ",'ADJ DETAIL INPUT'!BB$9))</f>
        <v>Pro Forma LEAP Deferral Amortization</v>
      </c>
      <c r="C70" s="968"/>
      <c r="D70" s="968"/>
      <c r="E70" s="87">
        <v>147.9075</v>
      </c>
      <c r="F70" s="87">
        <v>-1250</v>
      </c>
      <c r="G70" s="87"/>
      <c r="H70" s="87">
        <f>'ADJ DETAIL INPUT'!BB$58</f>
        <v>147.9075</v>
      </c>
      <c r="I70" s="87">
        <f>'ADJ DETAIL INPUT'!BB$81</f>
        <v>-1250</v>
      </c>
      <c r="J70" s="982"/>
      <c r="K70" s="980">
        <f t="shared" si="78"/>
        <v>0</v>
      </c>
      <c r="L70" s="980">
        <f t="shared" si="79"/>
        <v>0</v>
      </c>
      <c r="M70" s="978"/>
      <c r="N70" s="984">
        <f t="shared" si="80"/>
        <v>0</v>
      </c>
      <c r="O70" s="984">
        <f t="shared" si="81"/>
        <v>0</v>
      </c>
      <c r="P70" s="991">
        <f t="shared" si="82"/>
        <v>0</v>
      </c>
      <c r="Q70" s="982"/>
      <c r="R70" s="982"/>
      <c r="S70" s="982"/>
      <c r="T70" s="982"/>
      <c r="U70" s="973"/>
    </row>
    <row r="71" spans="1:21" s="983" customFormat="1">
      <c r="A71" s="338">
        <f>'ADJ DETAIL INPUT'!BC$10</f>
        <v>5.0699999999999985</v>
      </c>
      <c r="B71" s="85" t="str">
        <f>TRIM(CONCATENATE('ADJ DETAIL INPUT'!BC$7," ",'ADJ DETAIL INPUT'!BC$8," ",'ADJ DETAIL INPUT'!BC$9))</f>
        <v>Pro Forma Misc O&amp;M Exp</v>
      </c>
      <c r="C71" s="968"/>
      <c r="D71" s="968"/>
      <c r="E71" s="87">
        <v>-789.81592999999998</v>
      </c>
      <c r="F71" s="87">
        <v>0</v>
      </c>
      <c r="G71" s="87"/>
      <c r="H71" s="87">
        <f>'ADJ DETAIL INPUT'!BC$58</f>
        <v>-789.81592999999998</v>
      </c>
      <c r="I71" s="87">
        <f>'ADJ DETAIL INPUT'!BC$81</f>
        <v>0</v>
      </c>
      <c r="J71" s="982"/>
      <c r="K71" s="980">
        <f t="shared" si="78"/>
        <v>0</v>
      </c>
      <c r="L71" s="980">
        <f t="shared" si="79"/>
        <v>0</v>
      </c>
      <c r="M71" s="978"/>
      <c r="N71" s="984">
        <f t="shared" si="80"/>
        <v>0</v>
      </c>
      <c r="O71" s="984">
        <f t="shared" si="81"/>
        <v>0</v>
      </c>
      <c r="P71" s="991">
        <f t="shared" si="82"/>
        <v>0</v>
      </c>
      <c r="Q71" s="982"/>
      <c r="R71" s="982"/>
      <c r="S71" s="982"/>
      <c r="T71" s="982"/>
      <c r="U71" s="973"/>
    </row>
    <row r="72" spans="1:21" s="983" customFormat="1">
      <c r="A72" s="338">
        <f>'ADJ DETAIL INPUT'!BD$10</f>
        <v>5.0799999999999983</v>
      </c>
      <c r="B72" s="85" t="str">
        <f>TRIM(CONCATENATE('ADJ DETAIL INPUT'!BD$7," ",'ADJ DETAIL INPUT'!BD$8," ",'ADJ DETAIL INPUT'!BD$9))</f>
        <v>Provisional Capital Groups 2024 Additions AMA</v>
      </c>
      <c r="C72" s="968"/>
      <c r="D72" s="968"/>
      <c r="E72" s="87">
        <v>141.47097200000002</v>
      </c>
      <c r="F72" s="87">
        <v>22198</v>
      </c>
      <c r="G72" s="87"/>
      <c r="H72" s="87">
        <f>'ADJ DETAIL INPUT'!BD$58</f>
        <v>141.47097200000002</v>
      </c>
      <c r="I72" s="87">
        <f>'ADJ DETAIL INPUT'!BD$81</f>
        <v>22198</v>
      </c>
      <c r="J72" s="982"/>
      <c r="K72" s="980">
        <f t="shared" si="78"/>
        <v>0</v>
      </c>
      <c r="L72" s="980">
        <f t="shared" si="79"/>
        <v>0</v>
      </c>
      <c r="M72" s="978"/>
      <c r="N72" s="984">
        <f t="shared" si="80"/>
        <v>0</v>
      </c>
      <c r="O72" s="984">
        <f t="shared" si="81"/>
        <v>0</v>
      </c>
      <c r="P72" s="991">
        <f t="shared" si="82"/>
        <v>0</v>
      </c>
      <c r="Q72" s="982"/>
      <c r="R72" s="982"/>
      <c r="S72" s="982"/>
      <c r="T72" s="982"/>
      <c r="U72" s="973"/>
    </row>
    <row r="73" spans="1:21" s="983" customFormat="1">
      <c r="A73" s="338">
        <f>'ADJ DETAIL INPUT'!BE$10</f>
        <v>5.0899999999999981</v>
      </c>
      <c r="B73" s="85" t="str">
        <f>TRIM(CONCATENATE('ADJ DETAIL INPUT'!BE$7," ",'ADJ DETAIL INPUT'!BE$8," ",'ADJ DETAIL INPUT'!BE$9))</f>
        <v>Prov. 2024 Capital O&amp;M Offsets &amp; Revenues</v>
      </c>
      <c r="C73" s="968"/>
      <c r="D73" s="968"/>
      <c r="E73" s="87">
        <v>1128.1199999999999</v>
      </c>
      <c r="F73" s="87">
        <v>0</v>
      </c>
      <c r="G73" s="87"/>
      <c r="H73" s="87">
        <f>'ADJ DETAIL INPUT'!BE$58</f>
        <v>1128.1199999999999</v>
      </c>
      <c r="I73" s="87">
        <f>'ADJ DETAIL INPUT'!BE$81</f>
        <v>0</v>
      </c>
      <c r="J73" s="982"/>
      <c r="K73" s="980">
        <f t="shared" si="78"/>
        <v>0</v>
      </c>
      <c r="L73" s="980">
        <f t="shared" si="79"/>
        <v>0</v>
      </c>
      <c r="M73" s="978"/>
      <c r="N73" s="984">
        <f t="shared" si="80"/>
        <v>0</v>
      </c>
      <c r="O73" s="984">
        <f t="shared" si="81"/>
        <v>0</v>
      </c>
      <c r="P73" s="991">
        <f t="shared" si="82"/>
        <v>0</v>
      </c>
      <c r="Q73" s="982"/>
      <c r="R73" s="982"/>
      <c r="S73" s="982"/>
      <c r="T73" s="982"/>
      <c r="U73" s="973"/>
    </row>
    <row r="74" spans="1:21" ht="13.5" thickBot="1">
      <c r="B74" s="943" t="s">
        <v>667</v>
      </c>
      <c r="E74" s="34">
        <f>SUM(E56:E73)</f>
        <v>29219.583343999988</v>
      </c>
      <c r="F74" s="34">
        <f>SUM(F56:F73)</f>
        <v>535042</v>
      </c>
      <c r="H74" s="34">
        <f>SUM(H56:H73)</f>
        <v>29219.583343999988</v>
      </c>
      <c r="I74" s="34">
        <f>SUM(I56:I73)</f>
        <v>535042</v>
      </c>
      <c r="K74" s="34">
        <f>SUM(K65:K73)</f>
        <v>0</v>
      </c>
      <c r="L74" s="34">
        <f>SUM(L65:L73)</f>
        <v>0</v>
      </c>
      <c r="M74" s="948"/>
      <c r="N74" s="34">
        <f>SUM(N65:N73)</f>
        <v>0</v>
      </c>
      <c r="O74" s="34">
        <f>SUM(O65:O73)</f>
        <v>0</v>
      </c>
      <c r="P74" s="34">
        <f>SUM(P65:P73)</f>
        <v>0</v>
      </c>
    </row>
    <row r="75" spans="1:21" ht="13.5" thickTop="1">
      <c r="N75" s="977"/>
      <c r="O75" s="981">
        <f>N74+O74</f>
        <v>0</v>
      </c>
    </row>
    <row r="76" spans="1:21">
      <c r="N76" s="986" t="s">
        <v>668</v>
      </c>
      <c r="O76" s="992"/>
    </row>
    <row r="77" spans="1:21" ht="13.5" thickBot="1">
      <c r="N77" s="986" t="s">
        <v>164</v>
      </c>
      <c r="O77" s="990">
        <f>SUM(O75:O76)</f>
        <v>0</v>
      </c>
    </row>
    <row r="78" spans="1:21" ht="13.5" thickTop="1">
      <c r="N78" s="987" t="s">
        <v>669</v>
      </c>
      <c r="O78" s="994">
        <v>2172</v>
      </c>
    </row>
    <row r="79" spans="1:21" ht="13.5" thickBot="1">
      <c r="N79" s="988" t="s">
        <v>166</v>
      </c>
      <c r="O79" s="989">
        <f>O77+O78</f>
        <v>2172</v>
      </c>
    </row>
    <row r="80" spans="1:21" ht="13.5" thickTop="1">
      <c r="N80" s="979"/>
      <c r="O80" s="980">
        <f>'RR SUMMARY'!H23</f>
        <v>2171.5002150998789</v>
      </c>
      <c r="R80" s="985">
        <f>O80-O79</f>
        <v>-0.49978490012108523</v>
      </c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6" type="noConversion"/>
  <pageMargins left="0.75" right="0.5" top="1" bottom="1" header="0.5" footer="0.5"/>
  <pageSetup scale="5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787C4-469A-4E5D-97EC-07973E46DC2A}">
  <sheetPr codeName="Sheet4"/>
  <dimension ref="A1:AR1048576"/>
  <sheetViews>
    <sheetView tabSelected="1" workbookViewId="0">
      <selection activeCell="F2" sqref="F2"/>
    </sheetView>
  </sheetViews>
  <sheetFormatPr defaultColWidth="9.140625" defaultRowHeight="12.75"/>
  <cols>
    <col min="1" max="1" width="4.5703125" style="43" customWidth="1"/>
    <col min="2" max="3" width="1.5703125" style="42" customWidth="1"/>
    <col min="4" max="4" width="2.5703125" style="42" customWidth="1"/>
    <col min="5" max="5" width="23.5703125" style="112" customWidth="1"/>
    <col min="6" max="6" width="12.7109375" style="112" customWidth="1"/>
    <col min="7" max="7" width="13.42578125" style="112" customWidth="1"/>
    <col min="8" max="8" width="14.5703125" style="112" customWidth="1"/>
    <col min="9" max="9" width="14.42578125" style="112" customWidth="1"/>
    <col min="10" max="10" width="17.85546875" style="112" customWidth="1"/>
    <col min="11" max="11" width="14.5703125" style="112" customWidth="1"/>
    <col min="12" max="12" width="13.7109375" style="330" customWidth="1"/>
    <col min="13" max="14" width="9" style="330" customWidth="1"/>
    <col min="15" max="17" width="9.140625" style="330"/>
    <col min="18" max="18" width="11.140625" style="330" bestFit="1" customWidth="1"/>
    <col min="19" max="31" width="9.140625" style="330"/>
    <col min="32" max="32" width="14.5703125" style="330" customWidth="1"/>
    <col min="33" max="33" width="13" style="330" customWidth="1"/>
    <col min="34" max="16384" width="9.140625" style="330"/>
  </cols>
  <sheetData>
    <row r="1" spans="1:44" ht="15">
      <c r="A1" s="369" t="str">
        <f>'ROO INPUT 1.00'!A3:C3</f>
        <v>AVISTA UTILITIES</v>
      </c>
      <c r="D1" s="43"/>
      <c r="F1" s="356"/>
      <c r="G1" s="356"/>
      <c r="I1" s="356"/>
    </row>
    <row r="2" spans="1:44" ht="15" customHeight="1">
      <c r="A2" s="369" t="str">
        <f>'ADJ DETAIL INPUT'!A3</f>
        <v>WASHINGTON NATURAL GAS</v>
      </c>
      <c r="D2" s="43"/>
      <c r="G2" s="92"/>
      <c r="H2" s="93"/>
      <c r="I2" s="92"/>
      <c r="J2" s="93"/>
      <c r="K2" s="93"/>
      <c r="L2" s="333"/>
      <c r="M2" s="333"/>
      <c r="N2" s="333"/>
      <c r="O2" s="333"/>
    </row>
    <row r="3" spans="1:44" ht="15" customHeight="1">
      <c r="A3" s="369" t="str">
        <f>'ROO INPUT 1.00'!A5:C5</f>
        <v>TWELVE MONTHS ENDED SEPTEMBER 30, 2021</v>
      </c>
      <c r="D3" s="43"/>
      <c r="G3" s="92"/>
      <c r="H3" s="93"/>
      <c r="I3" s="92"/>
      <c r="J3" s="93"/>
      <c r="K3" s="93"/>
      <c r="L3" s="333"/>
      <c r="M3" s="333"/>
      <c r="N3" s="333"/>
      <c r="O3" s="333"/>
    </row>
    <row r="4" spans="1:44" ht="15">
      <c r="A4" s="369" t="str">
        <f>'ROO INPUT 1.00'!A6:C6</f>
        <v xml:space="preserve">(000'S OF DOLLARS)   </v>
      </c>
      <c r="D4" s="43"/>
      <c r="G4" s="580"/>
      <c r="H4" s="580"/>
    </row>
    <row r="5" spans="1:44" ht="13.5" thickBot="1">
      <c r="D5" s="43"/>
    </row>
    <row r="6" spans="1:44" ht="14.25">
      <c r="D6" s="43"/>
      <c r="F6" s="1044" t="s">
        <v>649</v>
      </c>
      <c r="G6" s="1045"/>
      <c r="H6" s="1045"/>
      <c r="I6" s="1046"/>
      <c r="J6" s="1046"/>
      <c r="K6" s="1046"/>
      <c r="L6" s="1047"/>
      <c r="AE6" s="333"/>
      <c r="AF6" s="258"/>
      <c r="AG6" s="259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</row>
    <row r="7" spans="1:44">
      <c r="A7" s="44"/>
      <c r="B7" s="44"/>
      <c r="C7" s="45"/>
      <c r="D7" s="45"/>
      <c r="E7" s="44"/>
      <c r="F7" s="682"/>
      <c r="G7" s="683"/>
      <c r="H7" s="682"/>
      <c r="I7" s="683"/>
      <c r="J7" s="684" t="s">
        <v>653</v>
      </c>
      <c r="K7" s="683"/>
      <c r="L7" s="46"/>
      <c r="Q7" s="333"/>
      <c r="Z7" s="333"/>
      <c r="AA7" s="333"/>
      <c r="AE7" s="333"/>
      <c r="AF7" s="264"/>
      <c r="AG7" s="265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</row>
    <row r="8" spans="1:44">
      <c r="A8" s="47"/>
      <c r="B8" s="48"/>
      <c r="C8" s="49"/>
      <c r="D8" s="50"/>
      <c r="E8" s="51"/>
      <c r="F8" s="15" t="s">
        <v>141</v>
      </c>
      <c r="G8" s="553" t="s">
        <v>25</v>
      </c>
      <c r="H8" s="581" t="s">
        <v>404</v>
      </c>
      <c r="I8" s="582" t="s">
        <v>25</v>
      </c>
      <c r="J8" s="836" t="s">
        <v>650</v>
      </c>
      <c r="K8" s="583" t="s">
        <v>142</v>
      </c>
      <c r="L8" s="836" t="s">
        <v>651</v>
      </c>
      <c r="AF8" s="260"/>
      <c r="AG8" s="261"/>
    </row>
    <row r="9" spans="1:44">
      <c r="A9" s="52" t="s">
        <v>7</v>
      </c>
      <c r="B9" s="53"/>
      <c r="C9" s="54"/>
      <c r="D9" s="55"/>
      <c r="E9" s="56"/>
      <c r="F9" s="17" t="s">
        <v>8</v>
      </c>
      <c r="G9" s="554" t="s">
        <v>500</v>
      </c>
      <c r="H9" s="584" t="s">
        <v>501</v>
      </c>
      <c r="I9" s="584" t="s">
        <v>15</v>
      </c>
      <c r="J9" s="584" t="s">
        <v>408</v>
      </c>
      <c r="K9" s="585" t="s">
        <v>143</v>
      </c>
      <c r="L9" s="17" t="s">
        <v>142</v>
      </c>
      <c r="AF9" s="260"/>
      <c r="AG9" s="261"/>
    </row>
    <row r="10" spans="1:44">
      <c r="A10" s="57" t="s">
        <v>16</v>
      </c>
      <c r="B10" s="58"/>
      <c r="C10" s="59"/>
      <c r="D10" s="60"/>
      <c r="E10" s="61" t="s">
        <v>17</v>
      </c>
      <c r="F10" s="19" t="s">
        <v>18</v>
      </c>
      <c r="G10" s="555" t="s">
        <v>117</v>
      </c>
      <c r="H10" s="586" t="s">
        <v>502</v>
      </c>
      <c r="I10" s="586" t="s">
        <v>117</v>
      </c>
      <c r="J10" s="586" t="s">
        <v>503</v>
      </c>
      <c r="K10" s="587" t="s">
        <v>144</v>
      </c>
      <c r="L10" s="19" t="s">
        <v>25</v>
      </c>
      <c r="AF10" s="260"/>
      <c r="AG10" s="261"/>
    </row>
    <row r="11" spans="1:44">
      <c r="A11" s="62"/>
      <c r="B11" s="62"/>
      <c r="C11" s="63"/>
      <c r="D11" s="63"/>
      <c r="E11" s="63" t="s">
        <v>26</v>
      </c>
      <c r="F11" s="20" t="s">
        <v>27</v>
      </c>
      <c r="G11" s="556" t="s">
        <v>28</v>
      </c>
      <c r="H11" s="556" t="s">
        <v>29</v>
      </c>
      <c r="I11" s="20" t="s">
        <v>30</v>
      </c>
      <c r="J11" s="20" t="s">
        <v>31</v>
      </c>
      <c r="K11" s="20" t="s">
        <v>579</v>
      </c>
      <c r="L11" s="20" t="s">
        <v>681</v>
      </c>
      <c r="AF11" s="260"/>
      <c r="AG11" s="261"/>
    </row>
    <row r="12" spans="1:44" ht="3.75" customHeight="1">
      <c r="A12" s="62"/>
      <c r="B12" s="62"/>
      <c r="C12" s="63"/>
      <c r="D12" s="63"/>
      <c r="E12" s="63"/>
      <c r="F12" s="20"/>
      <c r="G12" s="20"/>
      <c r="H12" s="20"/>
      <c r="I12" s="20"/>
      <c r="J12" s="20"/>
      <c r="K12" s="20"/>
      <c r="L12" s="20"/>
      <c r="AF12" s="260"/>
      <c r="AG12" s="261"/>
    </row>
    <row r="13" spans="1:44" ht="2.25" customHeight="1">
      <c r="A13" s="62"/>
      <c r="B13" s="62"/>
      <c r="C13" s="63"/>
      <c r="D13" s="63"/>
      <c r="E13" s="63"/>
      <c r="F13" s="20"/>
      <c r="G13" s="20"/>
      <c r="H13" s="20"/>
      <c r="I13" s="20"/>
      <c r="J13" s="20"/>
      <c r="K13" s="20"/>
      <c r="L13" s="20"/>
      <c r="AF13" s="260"/>
      <c r="AG13" s="261"/>
    </row>
    <row r="14" spans="1:44">
      <c r="A14" s="113"/>
      <c r="B14" s="1" t="s">
        <v>32</v>
      </c>
      <c r="C14" s="1"/>
      <c r="D14" s="1"/>
      <c r="E14" s="1"/>
      <c r="F14" s="39"/>
      <c r="G14" s="39"/>
      <c r="I14" s="39"/>
      <c r="L14" s="112"/>
      <c r="AF14" s="260"/>
      <c r="AG14" s="261"/>
    </row>
    <row r="15" spans="1:44">
      <c r="A15" s="113">
        <v>1</v>
      </c>
      <c r="B15" s="2"/>
      <c r="C15" s="2" t="s">
        <v>33</v>
      </c>
      <c r="D15" s="2"/>
      <c r="E15" s="2"/>
      <c r="F15" s="40">
        <f>'ADJ DETAIL INPUT'!E14</f>
        <v>156530</v>
      </c>
      <c r="G15" s="40">
        <f>H15-F15</f>
        <v>-1716</v>
      </c>
      <c r="H15" s="40">
        <f>'ADJ DETAIL INPUT'!Y14</f>
        <v>154814</v>
      </c>
      <c r="I15" s="40">
        <f>J15-H15</f>
        <v>-44946</v>
      </c>
      <c r="J15" s="40">
        <f>'ADJ DETAIL INPUT'!AT14</f>
        <v>109868</v>
      </c>
      <c r="K15" s="297">
        <f>CF!J12</f>
        <v>10922</v>
      </c>
      <c r="L15" s="40">
        <f>J15+K15</f>
        <v>120790</v>
      </c>
      <c r="O15" s="295"/>
      <c r="AF15" s="260"/>
      <c r="AG15" s="261"/>
    </row>
    <row r="16" spans="1:44">
      <c r="A16" s="113">
        <v>2</v>
      </c>
      <c r="B16" s="1"/>
      <c r="C16" s="3" t="s">
        <v>34</v>
      </c>
      <c r="D16" s="3"/>
      <c r="E16" s="3"/>
      <c r="F16" s="211">
        <f>'ADJ DETAIL INPUT'!E15</f>
        <v>4817</v>
      </c>
      <c r="G16" s="211">
        <f>H16-F16</f>
        <v>-122</v>
      </c>
      <c r="H16" s="211">
        <f>'ADJ DETAIL INPUT'!Y15</f>
        <v>4695</v>
      </c>
      <c r="I16" s="211">
        <f>J16-H16</f>
        <v>296</v>
      </c>
      <c r="J16" s="211">
        <f>'ADJ DETAIL INPUT'!AT15</f>
        <v>4991</v>
      </c>
      <c r="K16" s="211"/>
      <c r="L16" s="211">
        <f>J16+K16</f>
        <v>4991</v>
      </c>
      <c r="O16" s="295"/>
      <c r="AF16" s="260"/>
      <c r="AG16" s="261"/>
    </row>
    <row r="17" spans="1:33">
      <c r="A17" s="113">
        <v>3</v>
      </c>
      <c r="B17" s="1"/>
      <c r="C17" s="3" t="s">
        <v>35</v>
      </c>
      <c r="D17" s="3"/>
      <c r="E17" s="3"/>
      <c r="F17" s="213">
        <f>'ADJ DETAIL INPUT'!E16</f>
        <v>48647</v>
      </c>
      <c r="G17" s="213">
        <f>H17-F17</f>
        <v>-49074</v>
      </c>
      <c r="H17" s="213">
        <f>'ADJ DETAIL INPUT'!Y16</f>
        <v>-427</v>
      </c>
      <c r="I17" s="213">
        <f>J17-H17</f>
        <v>4298</v>
      </c>
      <c r="J17" s="213">
        <f>'ADJ DETAIL INPUT'!AT16</f>
        <v>3871</v>
      </c>
      <c r="K17" s="213"/>
      <c r="L17" s="213">
        <f>J17+K17</f>
        <v>3871</v>
      </c>
      <c r="O17" s="295"/>
      <c r="AF17" s="260"/>
      <c r="AG17" s="261"/>
    </row>
    <row r="18" spans="1:33">
      <c r="A18" s="113">
        <v>4</v>
      </c>
      <c r="B18" s="1" t="s">
        <v>36</v>
      </c>
      <c r="C18" s="3"/>
      <c r="D18" s="3"/>
      <c r="E18" s="3"/>
      <c r="F18" s="211">
        <f>SUM(F15:F17)</f>
        <v>209994</v>
      </c>
      <c r="G18" s="211">
        <f t="shared" ref="G18" si="0">SUM(G15:G17)</f>
        <v>-50912</v>
      </c>
      <c r="H18" s="211">
        <f t="shared" ref="H18" si="1">SUM(H15:H17)</f>
        <v>159082</v>
      </c>
      <c r="I18" s="211">
        <f t="shared" ref="I18:L18" si="2">SUM(I15:I17)</f>
        <v>-40352</v>
      </c>
      <c r="J18" s="211">
        <f t="shared" si="2"/>
        <v>118730</v>
      </c>
      <c r="K18" s="211">
        <f t="shared" si="2"/>
        <v>10922</v>
      </c>
      <c r="L18" s="211">
        <f t="shared" si="2"/>
        <v>129652</v>
      </c>
      <c r="AF18" s="260"/>
      <c r="AG18" s="261"/>
    </row>
    <row r="19" spans="1:33" ht="4.5" customHeight="1">
      <c r="A19" s="113"/>
      <c r="B19" s="1"/>
      <c r="C19" s="3"/>
      <c r="D19" s="3"/>
      <c r="E19" s="3"/>
      <c r="F19" s="211"/>
      <c r="G19" s="211"/>
      <c r="H19" s="211"/>
      <c r="I19" s="211"/>
      <c r="J19" s="211"/>
      <c r="K19" s="211"/>
      <c r="L19" s="211"/>
      <c r="AF19" s="260"/>
      <c r="AG19" s="261"/>
    </row>
    <row r="20" spans="1:33">
      <c r="A20" s="113"/>
      <c r="B20" s="1" t="s">
        <v>37</v>
      </c>
      <c r="C20" s="3"/>
      <c r="D20" s="3"/>
      <c r="E20" s="3"/>
      <c r="F20" s="211"/>
      <c r="G20" s="211"/>
      <c r="H20" s="211"/>
      <c r="I20" s="211"/>
      <c r="J20" s="211"/>
      <c r="K20" s="211"/>
      <c r="L20" s="211"/>
      <c r="AF20" s="260"/>
      <c r="AG20" s="261"/>
    </row>
    <row r="21" spans="1:33">
      <c r="A21" s="113"/>
      <c r="B21" s="1"/>
      <c r="C21" s="3" t="s">
        <v>208</v>
      </c>
      <c r="D21" s="3"/>
      <c r="E21" s="3"/>
      <c r="F21" s="211"/>
      <c r="G21" s="211"/>
      <c r="H21" s="211"/>
      <c r="I21" s="211"/>
      <c r="J21" s="211"/>
      <c r="K21" s="211"/>
      <c r="L21" s="211"/>
      <c r="AF21" s="260"/>
      <c r="AG21" s="261"/>
    </row>
    <row r="22" spans="1:33">
      <c r="A22" s="113">
        <v>5</v>
      </c>
      <c r="B22" s="1"/>
      <c r="C22" s="3"/>
      <c r="D22" s="3" t="s">
        <v>38</v>
      </c>
      <c r="E22" s="3"/>
      <c r="F22" s="211">
        <f>'ADJ DETAIL INPUT'!E21</f>
        <v>96285</v>
      </c>
      <c r="G22" s="211">
        <f>H22-F22</f>
        <v>-45796</v>
      </c>
      <c r="H22" s="211">
        <f>'ADJ DETAIL INPUT'!Y21</f>
        <v>50489</v>
      </c>
      <c r="I22" s="211">
        <f>J22-H22</f>
        <v>-50489</v>
      </c>
      <c r="J22" s="211">
        <f>'ADJ DETAIL INPUT'!AT21</f>
        <v>0</v>
      </c>
      <c r="K22" s="211"/>
      <c r="L22" s="211">
        <f>J22+K22</f>
        <v>0</v>
      </c>
      <c r="AF22" s="260"/>
      <c r="AG22" s="261"/>
    </row>
    <row r="23" spans="1:33">
      <c r="A23" s="113">
        <v>6</v>
      </c>
      <c r="B23" s="1"/>
      <c r="C23" s="3"/>
      <c r="D23" s="3" t="s">
        <v>39</v>
      </c>
      <c r="E23" s="3"/>
      <c r="F23" s="211">
        <f>'ADJ DETAIL INPUT'!E22</f>
        <v>762</v>
      </c>
      <c r="G23" s="211">
        <f>H23-F23</f>
        <v>2</v>
      </c>
      <c r="H23" s="211">
        <f>'ADJ DETAIL INPUT'!Y22</f>
        <v>764</v>
      </c>
      <c r="I23" s="211">
        <f>J23-H23</f>
        <v>52.926000000000045</v>
      </c>
      <c r="J23" s="211">
        <f>'ADJ DETAIL INPUT'!AT22</f>
        <v>816.92600000000004</v>
      </c>
      <c r="K23" s="211"/>
      <c r="L23" s="211">
        <f>J23+K23</f>
        <v>816.92600000000004</v>
      </c>
      <c r="AF23" s="260"/>
      <c r="AG23" s="261"/>
    </row>
    <row r="24" spans="1:33">
      <c r="A24" s="113">
        <v>7</v>
      </c>
      <c r="B24" s="1"/>
      <c r="C24" s="3"/>
      <c r="D24" s="3" t="s">
        <v>40</v>
      </c>
      <c r="E24" s="3"/>
      <c r="F24" s="213">
        <f>'ADJ DETAIL INPUT'!E23</f>
        <v>-6010</v>
      </c>
      <c r="G24" s="213">
        <f>H24-F24</f>
        <v>6010</v>
      </c>
      <c r="H24" s="213">
        <f>'ADJ DETAIL INPUT'!Y23</f>
        <v>0</v>
      </c>
      <c r="I24" s="213">
        <f>J24-H24</f>
        <v>0</v>
      </c>
      <c r="J24" s="213">
        <f>'ADJ DETAIL INPUT'!AT23</f>
        <v>0</v>
      </c>
      <c r="K24" s="213"/>
      <c r="L24" s="213">
        <f>J24+K24</f>
        <v>0</v>
      </c>
      <c r="AF24" s="260"/>
      <c r="AG24" s="261"/>
    </row>
    <row r="25" spans="1:33">
      <c r="A25" s="113">
        <v>8</v>
      </c>
      <c r="B25" s="1"/>
      <c r="C25" s="3"/>
      <c r="D25" s="3"/>
      <c r="E25" s="3" t="s">
        <v>41</v>
      </c>
      <c r="F25" s="211">
        <f>SUM(F22:F24)</f>
        <v>91037</v>
      </c>
      <c r="G25" s="211">
        <f t="shared" ref="G25" si="3">SUM(G22:G24)</f>
        <v>-39784</v>
      </c>
      <c r="H25" s="211">
        <f t="shared" ref="H25" si="4">SUM(H22:H24)</f>
        <v>51253</v>
      </c>
      <c r="I25" s="211">
        <f t="shared" ref="I25:L25" si="5">SUM(I22:I24)</f>
        <v>-50436.074000000001</v>
      </c>
      <c r="J25" s="211">
        <f t="shared" si="5"/>
        <v>816.92600000000004</v>
      </c>
      <c r="K25" s="211">
        <f t="shared" si="5"/>
        <v>0</v>
      </c>
      <c r="L25" s="211">
        <f t="shared" si="5"/>
        <v>816.92600000000004</v>
      </c>
      <c r="AF25" s="260"/>
      <c r="AG25" s="261"/>
    </row>
    <row r="26" spans="1:33" ht="5.25" customHeight="1">
      <c r="A26" s="113"/>
      <c r="B26" s="1"/>
      <c r="C26" s="3"/>
      <c r="D26" s="3"/>
      <c r="E26" s="3"/>
      <c r="F26" s="211"/>
      <c r="G26" s="211"/>
      <c r="H26" s="212"/>
      <c r="I26" s="211"/>
      <c r="J26" s="212"/>
      <c r="K26" s="211"/>
      <c r="L26" s="211"/>
      <c r="AF26" s="260"/>
      <c r="AG26" s="261"/>
    </row>
    <row r="27" spans="1:33">
      <c r="A27" s="113"/>
      <c r="B27" s="1"/>
      <c r="C27" s="3" t="s">
        <v>42</v>
      </c>
      <c r="D27" s="3"/>
      <c r="E27" s="3"/>
      <c r="F27" s="211"/>
      <c r="G27" s="211"/>
      <c r="H27" s="211"/>
      <c r="I27" s="211"/>
      <c r="J27" s="211"/>
      <c r="K27" s="211"/>
      <c r="L27" s="211"/>
      <c r="AF27" s="260"/>
      <c r="AG27" s="261"/>
    </row>
    <row r="28" spans="1:33">
      <c r="A28" s="113">
        <v>9</v>
      </c>
      <c r="B28" s="1"/>
      <c r="C28" s="3"/>
      <c r="D28" s="3" t="s">
        <v>43</v>
      </c>
      <c r="E28" s="3"/>
      <c r="F28" s="211">
        <f>'ADJ DETAIL INPUT'!E27</f>
        <v>1957</v>
      </c>
      <c r="G28" s="211">
        <f>H28-F28</f>
        <v>0</v>
      </c>
      <c r="H28" s="211">
        <f>'ADJ DETAIL INPUT'!Y27</f>
        <v>1957</v>
      </c>
      <c r="I28" s="211">
        <f>J28-H28</f>
        <v>320.54599999999982</v>
      </c>
      <c r="J28" s="211">
        <f>'ADJ DETAIL INPUT'!AT27</f>
        <v>2277.5459999999998</v>
      </c>
      <c r="K28" s="211"/>
      <c r="L28" s="211">
        <f>J28+K28</f>
        <v>2277.5459999999998</v>
      </c>
      <c r="AF28" s="260"/>
      <c r="AG28" s="261"/>
    </row>
    <row r="29" spans="1:33">
      <c r="A29" s="113">
        <v>10</v>
      </c>
      <c r="B29" s="1"/>
      <c r="C29" s="3"/>
      <c r="D29" s="3" t="s">
        <v>44</v>
      </c>
      <c r="E29" s="3"/>
      <c r="F29" s="211">
        <f>'ADJ DETAIL INPUT'!E28</f>
        <v>467</v>
      </c>
      <c r="G29" s="211">
        <f>H29-F29</f>
        <v>0</v>
      </c>
      <c r="H29" s="211">
        <f>'ADJ DETAIL INPUT'!Y28</f>
        <v>467</v>
      </c>
      <c r="I29" s="211">
        <f>J29-H29</f>
        <v>50</v>
      </c>
      <c r="J29" s="211">
        <f>'ADJ DETAIL INPUT'!AT28</f>
        <v>517</v>
      </c>
      <c r="K29" s="211"/>
      <c r="L29" s="211">
        <f>J29+K29</f>
        <v>517</v>
      </c>
      <c r="AF29" s="260"/>
      <c r="AG29" s="261"/>
    </row>
    <row r="30" spans="1:33">
      <c r="A30" s="242">
        <v>11</v>
      </c>
      <c r="B30" s="1"/>
      <c r="C30" s="3"/>
      <c r="D30" s="3" t="s">
        <v>21</v>
      </c>
      <c r="E30" s="3"/>
      <c r="F30" s="213">
        <f>'ADJ DETAIL INPUT'!E29</f>
        <v>187</v>
      </c>
      <c r="G30" s="213">
        <f>H30-F30</f>
        <v>0</v>
      </c>
      <c r="H30" s="213">
        <f>'ADJ DETAIL INPUT'!Y29</f>
        <v>187</v>
      </c>
      <c r="I30" s="213">
        <f>J30-H30</f>
        <v>31</v>
      </c>
      <c r="J30" s="213">
        <f>'ADJ DETAIL INPUT'!AT29</f>
        <v>218</v>
      </c>
      <c r="K30" s="213"/>
      <c r="L30" s="213">
        <f>J30+K30</f>
        <v>218</v>
      </c>
      <c r="AF30" s="260"/>
      <c r="AG30" s="261"/>
    </row>
    <row r="31" spans="1:33">
      <c r="A31" s="113">
        <v>12</v>
      </c>
      <c r="B31" s="1"/>
      <c r="C31" s="3"/>
      <c r="D31" s="3"/>
      <c r="E31" s="3" t="s">
        <v>45</v>
      </c>
      <c r="F31" s="211">
        <f t="shared" ref="F31:L31" si="6">SUM(F28:F30)</f>
        <v>2611</v>
      </c>
      <c r="G31" s="211">
        <f t="shared" si="6"/>
        <v>0</v>
      </c>
      <c r="H31" s="211">
        <f t="shared" si="6"/>
        <v>2611</v>
      </c>
      <c r="I31" s="211">
        <f t="shared" si="6"/>
        <v>401.54599999999982</v>
      </c>
      <c r="J31" s="211">
        <f t="shared" si="6"/>
        <v>3012.5459999999998</v>
      </c>
      <c r="K31" s="211">
        <f t="shared" si="6"/>
        <v>0</v>
      </c>
      <c r="L31" s="211">
        <f t="shared" si="6"/>
        <v>3012.5459999999998</v>
      </c>
      <c r="AF31" s="260"/>
      <c r="AG31" s="261"/>
    </row>
    <row r="32" spans="1:33" ht="3" customHeight="1">
      <c r="A32" s="113"/>
      <c r="B32" s="1"/>
      <c r="C32" s="3"/>
      <c r="D32" s="3"/>
      <c r="E32" s="3"/>
      <c r="F32" s="211"/>
      <c r="G32" s="211"/>
      <c r="H32" s="212"/>
      <c r="I32" s="211"/>
      <c r="J32" s="212"/>
      <c r="K32" s="211"/>
      <c r="L32" s="211"/>
      <c r="AF32" s="260"/>
      <c r="AG32" s="261"/>
    </row>
    <row r="33" spans="1:33">
      <c r="A33" s="113"/>
      <c r="B33" s="1"/>
      <c r="C33" s="3" t="s">
        <v>46</v>
      </c>
      <c r="D33" s="3"/>
      <c r="E33" s="3"/>
      <c r="F33" s="211"/>
      <c r="G33" s="211"/>
      <c r="H33" s="211"/>
      <c r="I33" s="211"/>
      <c r="J33" s="211"/>
      <c r="K33" s="211"/>
      <c r="L33" s="211"/>
      <c r="AF33" s="260"/>
      <c r="AG33" s="261"/>
    </row>
    <row r="34" spans="1:33">
      <c r="A34" s="113">
        <v>13</v>
      </c>
      <c r="B34" s="1"/>
      <c r="C34" s="3"/>
      <c r="D34" s="3" t="s">
        <v>43</v>
      </c>
      <c r="E34" s="3"/>
      <c r="F34" s="211">
        <f>'ADJ DETAIL INPUT'!E33</f>
        <v>12281</v>
      </c>
      <c r="G34" s="211">
        <f>H34-F34</f>
        <v>-14</v>
      </c>
      <c r="H34" s="211">
        <f>'ADJ DETAIL INPUT'!Y33</f>
        <v>12267</v>
      </c>
      <c r="I34" s="211">
        <f>J34-H34</f>
        <v>1144.7080000000005</v>
      </c>
      <c r="J34" s="211">
        <f>'ADJ DETAIL INPUT'!AT33</f>
        <v>13411.708000000001</v>
      </c>
      <c r="K34" s="211"/>
      <c r="L34" s="211">
        <f>J34+K34</f>
        <v>13411.708000000001</v>
      </c>
      <c r="AF34" s="260"/>
      <c r="AG34" s="261"/>
    </row>
    <row r="35" spans="1:33">
      <c r="A35" s="113">
        <v>14</v>
      </c>
      <c r="B35" s="1"/>
      <c r="C35" s="3"/>
      <c r="D35" s="3" t="s">
        <v>44</v>
      </c>
      <c r="E35" s="3"/>
      <c r="F35" s="211">
        <f>'ADJ DETAIL INPUT'!E34</f>
        <v>14391</v>
      </c>
      <c r="G35" s="211">
        <f>H35-F35</f>
        <v>-11</v>
      </c>
      <c r="H35" s="211">
        <f>'ADJ DETAIL INPUT'!Y34</f>
        <v>14380</v>
      </c>
      <c r="I35" s="211">
        <f>J35-H35</f>
        <v>2337</v>
      </c>
      <c r="J35" s="211">
        <f>'ADJ DETAIL INPUT'!AT34</f>
        <v>16717</v>
      </c>
      <c r="K35" s="211"/>
      <c r="L35" s="211">
        <f>J35+K35</f>
        <v>16717</v>
      </c>
      <c r="AF35" s="260"/>
      <c r="AG35" s="261"/>
    </row>
    <row r="36" spans="1:33">
      <c r="A36" s="113">
        <v>15</v>
      </c>
      <c r="B36" s="1"/>
      <c r="C36" s="3"/>
      <c r="D36" s="3" t="s">
        <v>21</v>
      </c>
      <c r="E36" s="3"/>
      <c r="F36" s="214">
        <f>'ADJ DETAIL INPUT'!E35</f>
        <v>14862</v>
      </c>
      <c r="G36" s="213">
        <f>H36-F36</f>
        <v>-5395</v>
      </c>
      <c r="H36" s="213">
        <f>'ADJ DETAIL INPUT'!Y35</f>
        <v>9467</v>
      </c>
      <c r="I36" s="213">
        <f>J36-H36</f>
        <v>-1166</v>
      </c>
      <c r="J36" s="213">
        <f>'ADJ DETAIL INPUT'!AT35</f>
        <v>8301</v>
      </c>
      <c r="K36" s="213">
        <f>CF!J19</f>
        <v>419</v>
      </c>
      <c r="L36" s="213">
        <f>J36+K36</f>
        <v>8720</v>
      </c>
      <c r="AF36" s="260"/>
      <c r="AG36" s="261"/>
    </row>
    <row r="37" spans="1:33">
      <c r="A37" s="113">
        <v>16</v>
      </c>
      <c r="B37" s="1"/>
      <c r="C37" s="3"/>
      <c r="D37" s="3"/>
      <c r="E37" s="3" t="s">
        <v>47</v>
      </c>
      <c r="F37" s="211">
        <f>SUM(F34:F36)</f>
        <v>41534</v>
      </c>
      <c r="G37" s="211">
        <f t="shared" ref="G37" si="7">SUM(G34:G36)</f>
        <v>-5420</v>
      </c>
      <c r="H37" s="211">
        <f t="shared" ref="H37" si="8">SUM(H34:H36)</f>
        <v>36114</v>
      </c>
      <c r="I37" s="211">
        <f t="shared" ref="I37:L37" si="9">SUM(I34:I36)</f>
        <v>2315.7080000000005</v>
      </c>
      <c r="J37" s="211">
        <f t="shared" si="9"/>
        <v>38429.707999999999</v>
      </c>
      <c r="K37" s="211">
        <f t="shared" si="9"/>
        <v>419</v>
      </c>
      <c r="L37" s="211">
        <f t="shared" si="9"/>
        <v>38848.707999999999</v>
      </c>
      <c r="AF37" s="260"/>
      <c r="AG37" s="261"/>
    </row>
    <row r="38" spans="1:33" ht="5.25" customHeight="1">
      <c r="A38" s="113"/>
      <c r="B38" s="1"/>
      <c r="C38" s="3"/>
      <c r="D38" s="3"/>
      <c r="E38" s="3"/>
      <c r="F38" s="211"/>
      <c r="G38" s="211"/>
      <c r="H38" s="211"/>
      <c r="I38" s="211"/>
      <c r="J38" s="211"/>
      <c r="K38" s="211"/>
      <c r="L38" s="211"/>
      <c r="AF38" s="260"/>
      <c r="AG38" s="261"/>
    </row>
    <row r="39" spans="1:33">
      <c r="A39" s="113">
        <v>17</v>
      </c>
      <c r="B39" s="1" t="s">
        <v>48</v>
      </c>
      <c r="C39" s="3"/>
      <c r="D39" s="3"/>
      <c r="E39" s="3"/>
      <c r="F39" s="211">
        <f>'ADJ DETAIL INPUT'!E38</f>
        <v>4562</v>
      </c>
      <c r="G39" s="211">
        <f>H39-F39</f>
        <v>1931</v>
      </c>
      <c r="H39" s="211">
        <f>'ADJ DETAIL INPUT'!Y38</f>
        <v>6493</v>
      </c>
      <c r="I39" s="211">
        <f>J39-H39</f>
        <v>251.00699999999961</v>
      </c>
      <c r="J39" s="211">
        <f>'ADJ DETAIL INPUT'!AT38</f>
        <v>6744.0069999999996</v>
      </c>
      <c r="K39" s="211">
        <f>CF!J15</f>
        <v>36</v>
      </c>
      <c r="L39" s="211">
        <f>J39+K39</f>
        <v>6780.0069999999996</v>
      </c>
      <c r="AF39" s="260"/>
      <c r="AG39" s="261"/>
    </row>
    <row r="40" spans="1:33">
      <c r="A40" s="113">
        <v>18</v>
      </c>
      <c r="B40" s="1" t="s">
        <v>49</v>
      </c>
      <c r="C40" s="3"/>
      <c r="D40" s="3"/>
      <c r="E40" s="3"/>
      <c r="F40" s="211">
        <f>'ADJ DETAIL INPUT'!E39</f>
        <v>9284</v>
      </c>
      <c r="G40" s="211">
        <f>H40-F40</f>
        <v>-8505</v>
      </c>
      <c r="H40" s="211">
        <f>'ADJ DETAIL INPUT'!Y39</f>
        <v>779</v>
      </c>
      <c r="I40" s="211">
        <f>J40-H40</f>
        <v>111.43200000000002</v>
      </c>
      <c r="J40" s="211">
        <f>'ADJ DETAIL INPUT'!AT39</f>
        <v>890.43200000000002</v>
      </c>
      <c r="K40" s="211"/>
      <c r="L40" s="211">
        <f>J40+K40</f>
        <v>890.43200000000002</v>
      </c>
      <c r="AF40" s="260"/>
      <c r="AG40" s="261"/>
    </row>
    <row r="41" spans="1:33">
      <c r="A41" s="113">
        <v>19</v>
      </c>
      <c r="B41" s="1" t="s">
        <v>50</v>
      </c>
      <c r="C41" s="3"/>
      <c r="D41" s="3"/>
      <c r="E41" s="3"/>
      <c r="F41" s="211">
        <f>'ADJ DETAIL INPUT'!E40</f>
        <v>0</v>
      </c>
      <c r="G41" s="211">
        <f>H41-F41</f>
        <v>0</v>
      </c>
      <c r="H41" s="211">
        <f>'ADJ DETAIL INPUT'!Y40</f>
        <v>0</v>
      </c>
      <c r="I41" s="211">
        <f>J41-H41</f>
        <v>0</v>
      </c>
      <c r="J41" s="211">
        <f>'ADJ DETAIL INPUT'!AT40</f>
        <v>0</v>
      </c>
      <c r="K41" s="211"/>
      <c r="L41" s="211">
        <f>J41+K41</f>
        <v>0</v>
      </c>
      <c r="AF41" s="260"/>
      <c r="AG41" s="261"/>
    </row>
    <row r="42" spans="1:33" ht="4.5" customHeight="1">
      <c r="A42" s="113"/>
      <c r="B42" s="1"/>
      <c r="C42" s="3"/>
      <c r="D42" s="3"/>
      <c r="E42" s="3"/>
      <c r="F42" s="211"/>
      <c r="G42" s="211"/>
      <c r="H42" s="215"/>
      <c r="I42" s="211"/>
      <c r="J42" s="215"/>
      <c r="K42" s="211"/>
      <c r="L42" s="211"/>
      <c r="AF42" s="260"/>
      <c r="AG42" s="261"/>
    </row>
    <row r="43" spans="1:33">
      <c r="A43" s="113"/>
      <c r="B43" s="1" t="s">
        <v>51</v>
      </c>
      <c r="C43" s="3"/>
      <c r="D43" s="3"/>
      <c r="E43" s="3"/>
      <c r="F43" s="211"/>
      <c r="G43" s="211"/>
      <c r="H43" s="211"/>
      <c r="I43" s="211"/>
      <c r="J43" s="211"/>
      <c r="K43" s="211"/>
      <c r="L43" s="211"/>
      <c r="AF43" s="260"/>
      <c r="AG43" s="261"/>
    </row>
    <row r="44" spans="1:33">
      <c r="A44" s="113">
        <v>20</v>
      </c>
      <c r="B44" s="1"/>
      <c r="C44" s="3" t="s">
        <v>43</v>
      </c>
      <c r="D44" s="3"/>
      <c r="E44" s="3"/>
      <c r="F44" s="211">
        <f>'ADJ DETAIL INPUT'!E43</f>
        <v>20606</v>
      </c>
      <c r="G44" s="211">
        <f>H44-F44</f>
        <v>353</v>
      </c>
      <c r="H44" s="211">
        <f>'ADJ DETAIL INPUT'!Y43</f>
        <v>20959</v>
      </c>
      <c r="I44" s="211">
        <f>J44-H44</f>
        <v>1898.7639999999992</v>
      </c>
      <c r="J44" s="211">
        <f>'ADJ DETAIL INPUT'!AT43</f>
        <v>22857.763999999999</v>
      </c>
      <c r="K44" s="211">
        <f>CF!J17</f>
        <v>22</v>
      </c>
      <c r="L44" s="211">
        <f>J44+K44</f>
        <v>22879.763999999999</v>
      </c>
      <c r="AF44" s="260"/>
      <c r="AG44" s="261"/>
    </row>
    <row r="45" spans="1:33">
      <c r="A45" s="113">
        <v>21</v>
      </c>
      <c r="B45" s="1"/>
      <c r="C45" s="3" t="s">
        <v>192</v>
      </c>
      <c r="D45" s="3"/>
      <c r="E45" s="3"/>
      <c r="F45" s="211">
        <f>'ADJ DETAIL INPUT'!E44</f>
        <v>12268</v>
      </c>
      <c r="G45" s="211">
        <f>H45-F45</f>
        <v>0</v>
      </c>
      <c r="H45" s="211">
        <f>'ADJ DETAIL INPUT'!Y44</f>
        <v>12268</v>
      </c>
      <c r="I45" s="211">
        <f>J45-H45</f>
        <v>-592</v>
      </c>
      <c r="J45" s="211">
        <f>'ADJ DETAIL INPUT'!AT44</f>
        <v>11676</v>
      </c>
      <c r="K45" s="211"/>
      <c r="L45" s="211">
        <f>J45+K45</f>
        <v>11676</v>
      </c>
      <c r="AF45" s="260"/>
      <c r="AG45" s="261"/>
    </row>
    <row r="46" spans="1:33">
      <c r="A46" s="113">
        <v>22</v>
      </c>
      <c r="B46" s="1"/>
      <c r="C46" s="7" t="s">
        <v>379</v>
      </c>
      <c r="D46" s="3"/>
      <c r="E46" s="3"/>
      <c r="F46" s="211">
        <f>'ADJ DETAIL INPUT'!E45</f>
        <v>-4848</v>
      </c>
      <c r="G46" s="211">
        <f>H46-F46</f>
        <v>2753</v>
      </c>
      <c r="H46" s="211">
        <f>'ADJ DETAIL INPUT'!Y45</f>
        <v>-2095</v>
      </c>
      <c r="I46" s="211">
        <f>J46-H46</f>
        <v>3064</v>
      </c>
      <c r="J46" s="211">
        <f>'ADJ DETAIL INPUT'!AT45</f>
        <v>969</v>
      </c>
      <c r="K46" s="211"/>
      <c r="L46" s="211">
        <f>J46+K46</f>
        <v>969</v>
      </c>
      <c r="AF46" s="260"/>
      <c r="AG46" s="261"/>
    </row>
    <row r="47" spans="1:33">
      <c r="A47" s="113">
        <v>23</v>
      </c>
      <c r="B47" s="1"/>
      <c r="C47" s="3" t="s">
        <v>21</v>
      </c>
      <c r="D47" s="3"/>
      <c r="E47" s="3"/>
      <c r="F47" s="213">
        <f>'ADJ DETAIL INPUT'!E46</f>
        <v>929</v>
      </c>
      <c r="G47" s="213">
        <f>H47-F47</f>
        <v>0</v>
      </c>
      <c r="H47" s="211">
        <f>'ADJ DETAIL INPUT'!Y46</f>
        <v>929</v>
      </c>
      <c r="I47" s="213">
        <f>J47-H47</f>
        <v>0</v>
      </c>
      <c r="J47" s="211">
        <f>'ADJ DETAIL INPUT'!AT46</f>
        <v>929</v>
      </c>
      <c r="K47" s="213"/>
      <c r="L47" s="213">
        <f>J47+K47</f>
        <v>929</v>
      </c>
      <c r="AF47" s="260"/>
      <c r="AG47" s="261"/>
    </row>
    <row r="48" spans="1:33">
      <c r="A48" s="113">
        <v>24</v>
      </c>
      <c r="B48" s="1"/>
      <c r="C48" s="3"/>
      <c r="D48" s="3" t="s">
        <v>52</v>
      </c>
      <c r="E48" s="330"/>
      <c r="F48" s="216">
        <f>SUM(F44:F47)</f>
        <v>28955</v>
      </c>
      <c r="G48" s="216">
        <f t="shared" ref="G48" si="10">SUM(G44:G47)</f>
        <v>3106</v>
      </c>
      <c r="H48" s="216">
        <f t="shared" ref="H48" si="11">SUM(H44:H47)</f>
        <v>32061</v>
      </c>
      <c r="I48" s="216">
        <f t="shared" ref="I48:L48" si="12">SUM(I44:I47)</f>
        <v>4370.7639999999992</v>
      </c>
      <c r="J48" s="216">
        <f t="shared" si="12"/>
        <v>36431.763999999996</v>
      </c>
      <c r="K48" s="216">
        <f t="shared" si="12"/>
        <v>22</v>
      </c>
      <c r="L48" s="216">
        <f t="shared" si="12"/>
        <v>36453.763999999996</v>
      </c>
      <c r="AF48" s="260"/>
      <c r="AG48" s="261"/>
    </row>
    <row r="49" spans="1:33">
      <c r="A49" s="113">
        <v>25</v>
      </c>
      <c r="B49" s="1" t="s">
        <v>53</v>
      </c>
      <c r="C49" s="3"/>
      <c r="D49" s="3"/>
      <c r="E49" s="3"/>
      <c r="F49" s="213">
        <f t="shared" ref="F49:L49" si="13">F48+F37+F31+F25+F39+F40+F41</f>
        <v>177983</v>
      </c>
      <c r="G49" s="213">
        <f t="shared" si="13"/>
        <v>-48672</v>
      </c>
      <c r="H49" s="213">
        <f t="shared" si="13"/>
        <v>129311</v>
      </c>
      <c r="I49" s="213">
        <f t="shared" si="13"/>
        <v>-42985.616999999998</v>
      </c>
      <c r="J49" s="213">
        <f t="shared" si="13"/>
        <v>86325.383000000002</v>
      </c>
      <c r="K49" s="213">
        <f t="shared" si="13"/>
        <v>477</v>
      </c>
      <c r="L49" s="213">
        <f t="shared" si="13"/>
        <v>86802.383000000002</v>
      </c>
      <c r="AF49" s="260"/>
      <c r="AG49" s="261"/>
    </row>
    <row r="50" spans="1:33" ht="8.25" customHeight="1">
      <c r="A50" s="113"/>
      <c r="B50" s="1"/>
      <c r="C50" s="3"/>
      <c r="D50" s="3"/>
      <c r="E50" s="3"/>
      <c r="F50" s="211"/>
      <c r="G50" s="211"/>
      <c r="H50" s="211"/>
      <c r="I50" s="211"/>
      <c r="J50" s="211"/>
      <c r="K50" s="211"/>
      <c r="L50" s="211"/>
      <c r="AF50" s="260"/>
      <c r="AG50" s="261"/>
    </row>
    <row r="51" spans="1:33">
      <c r="A51" s="113">
        <v>26</v>
      </c>
      <c r="B51" s="1" t="s">
        <v>54</v>
      </c>
      <c r="C51" s="3"/>
      <c r="D51" s="3"/>
      <c r="E51" s="3"/>
      <c r="F51" s="211">
        <f t="shared" ref="F51:L51" si="14">F18-F49</f>
        <v>32011</v>
      </c>
      <c r="G51" s="211">
        <f t="shared" si="14"/>
        <v>-2240</v>
      </c>
      <c r="H51" s="211">
        <f t="shared" si="14"/>
        <v>29771</v>
      </c>
      <c r="I51" s="211">
        <f t="shared" si="14"/>
        <v>2633.6169999999984</v>
      </c>
      <c r="J51" s="211">
        <f t="shared" si="14"/>
        <v>32404.616999999998</v>
      </c>
      <c r="K51" s="211">
        <f t="shared" si="14"/>
        <v>10445</v>
      </c>
      <c r="L51" s="211">
        <f t="shared" si="14"/>
        <v>42849.616999999998</v>
      </c>
      <c r="AF51" s="260"/>
      <c r="AG51" s="261"/>
    </row>
    <row r="52" spans="1:33" ht="6.75" customHeight="1">
      <c r="A52" s="113"/>
      <c r="B52" s="1"/>
      <c r="C52" s="3"/>
      <c r="D52" s="3"/>
      <c r="E52" s="3"/>
      <c r="F52" s="211"/>
      <c r="G52" s="211"/>
      <c r="H52" s="211"/>
      <c r="I52" s="211"/>
      <c r="J52" s="211"/>
      <c r="K52" s="211"/>
      <c r="L52" s="211"/>
      <c r="AF52" s="260"/>
      <c r="AG52" s="261"/>
    </row>
    <row r="53" spans="1:33">
      <c r="A53" s="113"/>
      <c r="B53" s="1" t="s">
        <v>55</v>
      </c>
      <c r="C53" s="3"/>
      <c r="D53" s="3"/>
      <c r="E53" s="3"/>
      <c r="F53" s="211"/>
      <c r="G53" s="211"/>
      <c r="H53" s="211"/>
      <c r="I53" s="211"/>
      <c r="J53" s="211"/>
      <c r="K53" s="211"/>
      <c r="L53" s="211"/>
      <c r="AF53" s="260"/>
      <c r="AG53" s="261"/>
    </row>
    <row r="54" spans="1:33">
      <c r="A54" s="113">
        <v>27</v>
      </c>
      <c r="B54" s="1"/>
      <c r="C54" s="3" t="s">
        <v>56</v>
      </c>
      <c r="D54" s="3"/>
      <c r="E54" s="3"/>
      <c r="F54" s="211">
        <f>'ADJ DETAIL INPUT'!E53</f>
        <v>-3545</v>
      </c>
      <c r="G54" s="211">
        <f>H54-F54</f>
        <v>-219.40000000000009</v>
      </c>
      <c r="H54" s="211">
        <f>'ADJ DETAIL INPUT'!Y53</f>
        <v>-3764.4</v>
      </c>
      <c r="I54" s="211">
        <f>J54-H54</f>
        <v>553.05956999999944</v>
      </c>
      <c r="J54" s="211">
        <f>'ADJ DETAIL INPUT'!AT53</f>
        <v>-3211.3404300000007</v>
      </c>
      <c r="K54" s="211">
        <f>CF!J25</f>
        <v>2193</v>
      </c>
      <c r="L54" s="211">
        <f>J54+K54</f>
        <v>-1018.3404300000007</v>
      </c>
      <c r="R54" s="77"/>
      <c r="AF54" s="260"/>
      <c r="AG54" s="261"/>
    </row>
    <row r="55" spans="1:33">
      <c r="A55" s="113">
        <v>28</v>
      </c>
      <c r="B55" s="1"/>
      <c r="C55" s="154" t="s">
        <v>173</v>
      </c>
      <c r="D55" s="3"/>
      <c r="E55" s="3"/>
      <c r="F55" s="211">
        <f>'ADJ DETAIL INPUT'!E54</f>
        <v>0</v>
      </c>
      <c r="G55" s="211">
        <f>H55-F55</f>
        <v>-70.550297999999998</v>
      </c>
      <c r="H55" s="211">
        <f>'ADJ DETAIL INPUT'!Y54</f>
        <v>-70.550297999999998</v>
      </c>
      <c r="I55" s="211">
        <f>J55-H55</f>
        <v>-264.31914600000005</v>
      </c>
      <c r="J55" s="211">
        <f>'ADJ DETAIL INPUT'!AT54</f>
        <v>-334.86944400000004</v>
      </c>
      <c r="K55" s="211"/>
      <c r="L55" s="211">
        <f>J55+K55</f>
        <v>-334.86944400000004</v>
      </c>
      <c r="AF55" s="260"/>
      <c r="AG55" s="261"/>
    </row>
    <row r="56" spans="1:33">
      <c r="A56" s="113">
        <v>29</v>
      </c>
      <c r="B56" s="1"/>
      <c r="C56" s="3" t="s">
        <v>57</v>
      </c>
      <c r="D56" s="3"/>
      <c r="E56" s="3"/>
      <c r="F56" s="211">
        <f>'ADJ DETAIL INPUT'!E55</f>
        <v>6172</v>
      </c>
      <c r="G56" s="211">
        <f>H56-F56</f>
        <v>363</v>
      </c>
      <c r="H56" s="211">
        <f>'ADJ DETAIL INPUT'!Y55</f>
        <v>6535</v>
      </c>
      <c r="I56" s="211">
        <f>J56-H56</f>
        <v>27</v>
      </c>
      <c r="J56" s="211">
        <f>'ADJ DETAIL INPUT'!AT55</f>
        <v>6562</v>
      </c>
      <c r="K56" s="211"/>
      <c r="L56" s="211">
        <f>J56+K56</f>
        <v>6562</v>
      </c>
      <c r="AF56" s="260"/>
      <c r="AG56" s="261"/>
    </row>
    <row r="57" spans="1:33">
      <c r="A57" s="113">
        <v>30</v>
      </c>
      <c r="B57" s="1"/>
      <c r="C57" s="3" t="s">
        <v>58</v>
      </c>
      <c r="D57" s="3"/>
      <c r="E57" s="3"/>
      <c r="F57" s="213">
        <f>'ADJ DETAIL INPUT'!E56</f>
        <v>-2</v>
      </c>
      <c r="G57" s="213">
        <f>H57-F57</f>
        <v>0</v>
      </c>
      <c r="H57" s="213">
        <f>'ADJ DETAIL INPUT'!Y56</f>
        <v>-2</v>
      </c>
      <c r="I57" s="213">
        <f>J57-H57</f>
        <v>0</v>
      </c>
      <c r="J57" s="213">
        <f>'ADJ DETAIL INPUT'!AT56</f>
        <v>-2</v>
      </c>
      <c r="K57" s="213"/>
      <c r="L57" s="213">
        <f>J57+K57</f>
        <v>-2</v>
      </c>
      <c r="AF57" s="260"/>
      <c r="AG57" s="261"/>
    </row>
    <row r="58" spans="1:33" ht="6" customHeight="1">
      <c r="A58" s="113"/>
      <c r="B58" s="1"/>
      <c r="C58" s="1"/>
      <c r="D58" s="1"/>
      <c r="E58" s="1"/>
      <c r="F58" s="211"/>
      <c r="G58" s="211"/>
      <c r="H58" s="211"/>
      <c r="I58" s="211"/>
      <c r="J58" s="211"/>
      <c r="K58" s="217"/>
      <c r="L58" s="211"/>
      <c r="AF58" s="260"/>
      <c r="AG58" s="261"/>
    </row>
    <row r="59" spans="1:33" ht="13.5" thickBot="1">
      <c r="A59" s="113">
        <v>31</v>
      </c>
      <c r="B59" s="2" t="s">
        <v>59</v>
      </c>
      <c r="C59" s="2"/>
      <c r="D59" s="2"/>
      <c r="E59" s="2"/>
      <c r="F59" s="218">
        <f t="shared" ref="F59:L59" si="15">F51-SUM(F54:F57)</f>
        <v>29386</v>
      </c>
      <c r="G59" s="218">
        <f t="shared" si="15"/>
        <v>-2313.0497019999998</v>
      </c>
      <c r="H59" s="218">
        <f t="shared" si="15"/>
        <v>27072.950298</v>
      </c>
      <c r="I59" s="218">
        <f t="shared" si="15"/>
        <v>2317.8765759999987</v>
      </c>
      <c r="J59" s="218">
        <f t="shared" si="15"/>
        <v>29390.826873999998</v>
      </c>
      <c r="K59" s="218">
        <f t="shared" si="15"/>
        <v>8252</v>
      </c>
      <c r="L59" s="218">
        <f t="shared" si="15"/>
        <v>37642.826873999998</v>
      </c>
      <c r="AF59" s="260"/>
      <c r="AG59" s="261"/>
    </row>
    <row r="60" spans="1:33" ht="7.5" customHeight="1" thickTop="1">
      <c r="A60" s="113"/>
      <c r="B60" s="1"/>
      <c r="C60" s="1"/>
      <c r="D60" s="1"/>
      <c r="E60" s="1"/>
      <c r="F60" s="211"/>
      <c r="G60" s="211"/>
      <c r="H60" s="211"/>
      <c r="I60" s="211"/>
      <c r="J60" s="211"/>
      <c r="K60" s="211"/>
      <c r="L60" s="211"/>
      <c r="AF60" s="260"/>
      <c r="AG60" s="261"/>
    </row>
    <row r="61" spans="1:33" hidden="1">
      <c r="A61" s="113"/>
      <c r="B61" s="1"/>
      <c r="C61" s="1"/>
      <c r="D61" s="1"/>
      <c r="E61" s="1"/>
      <c r="F61" s="211"/>
      <c r="G61" s="211"/>
      <c r="H61" s="211"/>
      <c r="I61" s="211"/>
      <c r="J61" s="211"/>
      <c r="K61" s="211"/>
      <c r="L61" s="211"/>
      <c r="AF61" s="260"/>
      <c r="AG61" s="261"/>
    </row>
    <row r="62" spans="1:33">
      <c r="A62" s="113"/>
      <c r="B62" s="1" t="s">
        <v>60</v>
      </c>
      <c r="C62" s="1"/>
      <c r="D62" s="1"/>
      <c r="E62" s="1"/>
      <c r="F62" s="211"/>
      <c r="G62" s="211"/>
      <c r="H62" s="211"/>
      <c r="I62" s="211"/>
      <c r="J62" s="211"/>
      <c r="K62" s="211"/>
      <c r="L62" s="211"/>
      <c r="AF62" s="260"/>
      <c r="AG62" s="261"/>
    </row>
    <row r="63" spans="1:33">
      <c r="A63" s="113">
        <v>32</v>
      </c>
      <c r="B63" s="3"/>
      <c r="C63" s="3" t="s">
        <v>42</v>
      </c>
      <c r="D63" s="3"/>
      <c r="E63" s="3"/>
      <c r="F63" s="211">
        <f>'ADJ DETAIL INPUT'!E62</f>
        <v>32352</v>
      </c>
      <c r="G63" s="211">
        <f>H63-F63</f>
        <v>737</v>
      </c>
      <c r="H63" s="211">
        <f>'ADJ DETAIL INPUT'!Y62</f>
        <v>33089</v>
      </c>
      <c r="I63" s="211">
        <f>J63-H63</f>
        <v>2306</v>
      </c>
      <c r="J63" s="211">
        <f>'ADJ DETAIL INPUT'!AT62</f>
        <v>35395</v>
      </c>
      <c r="K63" s="211"/>
      <c r="L63" s="211">
        <f>J63+K63</f>
        <v>35395</v>
      </c>
      <c r="AF63" s="260"/>
      <c r="AG63" s="261"/>
    </row>
    <row r="64" spans="1:33">
      <c r="A64" s="113">
        <v>33</v>
      </c>
      <c r="B64" s="3"/>
      <c r="C64" s="3" t="s">
        <v>61</v>
      </c>
      <c r="D64" s="3"/>
      <c r="E64" s="3"/>
      <c r="F64" s="211">
        <f>'ADJ DETAIL INPUT'!E63</f>
        <v>571039</v>
      </c>
      <c r="G64" s="211">
        <f>H64-F64</f>
        <v>21202</v>
      </c>
      <c r="H64" s="211">
        <f>'ADJ DETAIL INPUT'!Y63</f>
        <v>592241</v>
      </c>
      <c r="I64" s="211">
        <f>J64-H64</f>
        <v>70196</v>
      </c>
      <c r="J64" s="211">
        <f>'ADJ DETAIL INPUT'!AT63</f>
        <v>662437</v>
      </c>
      <c r="K64" s="211"/>
      <c r="L64" s="211">
        <f>J64+K64</f>
        <v>662437</v>
      </c>
      <c r="AF64" s="260"/>
      <c r="AG64" s="261"/>
    </row>
    <row r="65" spans="1:33">
      <c r="A65" s="113">
        <v>34</v>
      </c>
      <c r="B65" s="3"/>
      <c r="C65" s="3" t="s">
        <v>62</v>
      </c>
      <c r="D65" s="3"/>
      <c r="E65" s="3"/>
      <c r="F65" s="213">
        <f>'ADJ DETAIL INPUT'!E64</f>
        <v>158395</v>
      </c>
      <c r="G65" s="213">
        <f>H65-F65</f>
        <v>2983</v>
      </c>
      <c r="H65" s="213">
        <f>'ADJ DETAIL INPUT'!Y64</f>
        <v>161378</v>
      </c>
      <c r="I65" s="213">
        <f>J65-H65</f>
        <v>2357</v>
      </c>
      <c r="J65" s="213">
        <f>'ADJ DETAIL INPUT'!AT64</f>
        <v>163735</v>
      </c>
      <c r="K65" s="213"/>
      <c r="L65" s="213">
        <f>J65+K65</f>
        <v>163735</v>
      </c>
      <c r="AF65" s="260"/>
      <c r="AG65" s="261"/>
    </row>
    <row r="66" spans="1:33">
      <c r="A66" s="113">
        <v>35</v>
      </c>
      <c r="B66" s="3"/>
      <c r="C66" s="3"/>
      <c r="D66" s="3"/>
      <c r="E66" s="3" t="s">
        <v>63</v>
      </c>
      <c r="F66" s="219">
        <f>SUM(F63:F65)</f>
        <v>761786</v>
      </c>
      <c r="G66" s="219">
        <f t="shared" ref="G66" si="16">SUM(G63:G65)</f>
        <v>24922</v>
      </c>
      <c r="H66" s="219">
        <f t="shared" ref="H66" si="17">SUM(H63:H65)</f>
        <v>786708</v>
      </c>
      <c r="I66" s="219">
        <f t="shared" ref="I66:L66" si="18">SUM(I63:I65)</f>
        <v>74859</v>
      </c>
      <c r="J66" s="219">
        <f t="shared" si="18"/>
        <v>861567</v>
      </c>
      <c r="K66" s="219">
        <f t="shared" si="18"/>
        <v>0</v>
      </c>
      <c r="L66" s="219">
        <f t="shared" si="18"/>
        <v>861567</v>
      </c>
      <c r="AF66" s="260"/>
      <c r="AG66" s="261"/>
    </row>
    <row r="67" spans="1:33" ht="5.25" customHeight="1">
      <c r="A67" s="113"/>
      <c r="B67" s="3"/>
      <c r="C67" s="3"/>
      <c r="D67" s="3"/>
      <c r="E67" s="3"/>
      <c r="F67" s="219"/>
      <c r="G67" s="219"/>
      <c r="H67" s="219"/>
      <c r="I67" s="219"/>
      <c r="J67" s="219"/>
      <c r="K67" s="219"/>
      <c r="L67" s="219"/>
      <c r="AF67" s="260"/>
      <c r="AG67" s="261"/>
    </row>
    <row r="68" spans="1:33">
      <c r="A68" s="113"/>
      <c r="B68" s="3" t="s">
        <v>384</v>
      </c>
      <c r="C68" s="3"/>
      <c r="D68" s="3"/>
      <c r="E68" s="3"/>
      <c r="F68" s="211"/>
      <c r="G68" s="211"/>
      <c r="H68" s="211"/>
      <c r="I68" s="211"/>
      <c r="J68" s="211"/>
      <c r="K68" s="211"/>
      <c r="L68" s="211"/>
      <c r="AF68" s="260"/>
      <c r="AG68" s="261"/>
    </row>
    <row r="69" spans="1:33">
      <c r="A69" s="113">
        <v>36</v>
      </c>
      <c r="B69" s="3"/>
      <c r="C69" s="3" t="s">
        <v>42</v>
      </c>
      <c r="D69" s="3"/>
      <c r="E69" s="3"/>
      <c r="F69" s="211">
        <f>'ADJ DETAIL INPUT'!E68</f>
        <v>-12363</v>
      </c>
      <c r="G69" s="211">
        <f>H69-F69</f>
        <v>-233</v>
      </c>
      <c r="H69" s="211">
        <f>'ADJ DETAIL INPUT'!Y68</f>
        <v>-12596</v>
      </c>
      <c r="I69" s="211">
        <f>J69-H69</f>
        <v>-868</v>
      </c>
      <c r="J69" s="211">
        <f>'ADJ DETAIL INPUT'!AT68</f>
        <v>-13464</v>
      </c>
      <c r="K69" s="211"/>
      <c r="L69" s="211">
        <f t="shared" ref="L69:L79" si="19">J69+K69</f>
        <v>-13464</v>
      </c>
      <c r="AF69" s="260"/>
      <c r="AG69" s="261"/>
    </row>
    <row r="70" spans="1:33">
      <c r="A70" s="113">
        <v>37</v>
      </c>
      <c r="B70" s="3"/>
      <c r="C70" s="3" t="s">
        <v>61</v>
      </c>
      <c r="D70" s="3"/>
      <c r="E70" s="3"/>
      <c r="F70" s="211">
        <f>'ADJ DETAIL INPUT'!E69</f>
        <v>-161309</v>
      </c>
      <c r="G70" s="211">
        <f>H70-F70</f>
        <v>-5546</v>
      </c>
      <c r="H70" s="211">
        <f>'ADJ DETAIL INPUT'!Y69</f>
        <v>-166855</v>
      </c>
      <c r="I70" s="211">
        <f>J70-H70</f>
        <v>-21588</v>
      </c>
      <c r="J70" s="211">
        <f>'ADJ DETAIL INPUT'!AT69</f>
        <v>-188443</v>
      </c>
      <c r="K70" s="211"/>
      <c r="L70" s="211">
        <f t="shared" si="19"/>
        <v>-188443</v>
      </c>
      <c r="AF70" s="260"/>
      <c r="AG70" s="261"/>
    </row>
    <row r="71" spans="1:33">
      <c r="A71" s="113">
        <v>38</v>
      </c>
      <c r="B71" s="3"/>
      <c r="C71" s="3" t="s">
        <v>62</v>
      </c>
      <c r="D71" s="3"/>
      <c r="E71" s="3"/>
      <c r="F71" s="213">
        <f>'ADJ DETAIL INPUT'!E70</f>
        <v>-52407</v>
      </c>
      <c r="G71" s="213">
        <f>H71-F71</f>
        <v>-4044</v>
      </c>
      <c r="H71" s="211">
        <f>'ADJ DETAIL INPUT'!Y70</f>
        <v>-56451</v>
      </c>
      <c r="I71" s="213">
        <f>J71-H71</f>
        <v>-11410</v>
      </c>
      <c r="J71" s="211">
        <f>'ADJ DETAIL INPUT'!AT70</f>
        <v>-67861</v>
      </c>
      <c r="K71" s="213"/>
      <c r="L71" s="213">
        <f t="shared" si="19"/>
        <v>-67861</v>
      </c>
      <c r="AF71" s="260"/>
      <c r="AG71" s="261"/>
    </row>
    <row r="72" spans="1:33">
      <c r="A72" s="113">
        <v>39</v>
      </c>
      <c r="B72" s="3" t="s">
        <v>385</v>
      </c>
      <c r="C72" s="3"/>
      <c r="D72" s="3"/>
      <c r="E72" s="330"/>
      <c r="F72" s="216">
        <f>SUM(F69:F71)</f>
        <v>-226079</v>
      </c>
      <c r="G72" s="216">
        <f t="shared" ref="G72" si="20">SUM(G69:G71)</f>
        <v>-9823</v>
      </c>
      <c r="H72" s="216">
        <f t="shared" ref="H72" si="21">SUM(H69:H71)</f>
        <v>-235902</v>
      </c>
      <c r="I72" s="216">
        <f t="shared" ref="I72:L72" si="22">SUM(I69:I71)</f>
        <v>-33866</v>
      </c>
      <c r="J72" s="216">
        <f t="shared" si="22"/>
        <v>-269768</v>
      </c>
      <c r="K72" s="216">
        <f t="shared" si="22"/>
        <v>0</v>
      </c>
      <c r="L72" s="216">
        <f t="shared" si="22"/>
        <v>-269768</v>
      </c>
      <c r="AF72" s="260"/>
      <c r="AG72" s="261"/>
    </row>
    <row r="73" spans="1:33">
      <c r="A73" s="113">
        <v>40</v>
      </c>
      <c r="B73" s="154" t="s">
        <v>167</v>
      </c>
      <c r="C73" s="3"/>
      <c r="D73" s="3"/>
      <c r="E73" s="3"/>
      <c r="F73" s="219">
        <f>F66+F72</f>
        <v>535707</v>
      </c>
      <c r="G73" s="219">
        <f t="shared" ref="G73" si="23">G66+G72</f>
        <v>15099</v>
      </c>
      <c r="H73" s="219">
        <f t="shared" ref="H73" si="24">H66+H72</f>
        <v>550806</v>
      </c>
      <c r="I73" s="219">
        <f t="shared" ref="I73:L73" si="25">I66+I72</f>
        <v>40993</v>
      </c>
      <c r="J73" s="219">
        <f t="shared" si="25"/>
        <v>591799</v>
      </c>
      <c r="K73" s="219">
        <f t="shared" si="25"/>
        <v>0</v>
      </c>
      <c r="L73" s="219">
        <f t="shared" si="25"/>
        <v>591799</v>
      </c>
      <c r="AF73" s="260"/>
      <c r="AG73" s="261"/>
    </row>
    <row r="74" spans="1:33">
      <c r="A74" s="4">
        <v>41</v>
      </c>
      <c r="B74" s="5" t="s">
        <v>65</v>
      </c>
      <c r="C74" s="5"/>
      <c r="D74" s="5"/>
      <c r="E74" s="5"/>
      <c r="F74" s="213">
        <f>'ADJ DETAIL INPUT'!E73</f>
        <v>-97558</v>
      </c>
      <c r="G74" s="213">
        <f>H74-F74</f>
        <v>11623</v>
      </c>
      <c r="H74" s="213">
        <f>'ADJ DETAIL INPUT'!Y73</f>
        <v>-85935</v>
      </c>
      <c r="I74" s="213">
        <f>J74-H74</f>
        <v>4284</v>
      </c>
      <c r="J74" s="213">
        <f>'ADJ DETAIL INPUT'!AT73</f>
        <v>-81651</v>
      </c>
      <c r="K74" s="213"/>
      <c r="L74" s="213">
        <f>J74+K74</f>
        <v>-81651</v>
      </c>
      <c r="AF74" s="260"/>
      <c r="AG74" s="261"/>
    </row>
    <row r="75" spans="1:33">
      <c r="A75" s="4">
        <v>42</v>
      </c>
      <c r="B75" s="5"/>
      <c r="C75" s="156" t="s">
        <v>195</v>
      </c>
      <c r="D75" s="5"/>
      <c r="E75" s="5"/>
      <c r="F75" s="211">
        <f>F73+F74</f>
        <v>438149</v>
      </c>
      <c r="G75" s="211">
        <f t="shared" ref="G75" si="26">G73+G74</f>
        <v>26722</v>
      </c>
      <c r="H75" s="211">
        <f>H73+H74</f>
        <v>464871</v>
      </c>
      <c r="I75" s="211">
        <f t="shared" ref="I75:L75" si="27">I73+I74</f>
        <v>45277</v>
      </c>
      <c r="J75" s="211">
        <f>J73+J74</f>
        <v>510148</v>
      </c>
      <c r="K75" s="211">
        <f t="shared" si="27"/>
        <v>0</v>
      </c>
      <c r="L75" s="211">
        <f t="shared" si="27"/>
        <v>510148</v>
      </c>
      <c r="AF75" s="260"/>
      <c r="AG75" s="261"/>
    </row>
    <row r="76" spans="1:33" ht="12" customHeight="1">
      <c r="A76" s="113">
        <v>43</v>
      </c>
      <c r="B76" s="252" t="s">
        <v>66</v>
      </c>
      <c r="C76" s="252"/>
      <c r="D76" s="252"/>
      <c r="E76" s="252"/>
      <c r="F76" s="253">
        <f>'ADJ DETAIL INPUT'!E75</f>
        <v>11642</v>
      </c>
      <c r="G76" s="253">
        <f>H76-F76</f>
        <v>0</v>
      </c>
      <c r="H76" s="211">
        <f>'ADJ DETAIL INPUT'!Y75</f>
        <v>11642</v>
      </c>
      <c r="I76" s="253">
        <f>J76-H76</f>
        <v>0</v>
      </c>
      <c r="J76" s="211">
        <f>'ADJ DETAIL INPUT'!AT75</f>
        <v>11642</v>
      </c>
      <c r="K76" s="253"/>
      <c r="L76" s="253">
        <f t="shared" si="19"/>
        <v>11642</v>
      </c>
      <c r="AF76" s="260"/>
      <c r="AG76" s="261"/>
    </row>
    <row r="77" spans="1:33">
      <c r="A77" s="113">
        <v>44</v>
      </c>
      <c r="B77" s="252" t="s">
        <v>67</v>
      </c>
      <c r="C77" s="252"/>
      <c r="D77" s="252"/>
      <c r="E77" s="252"/>
      <c r="F77" s="253">
        <f>'ADJ DETAIL INPUT'!E76</f>
        <v>0</v>
      </c>
      <c r="G77" s="253">
        <f>H77-F77</f>
        <v>0</v>
      </c>
      <c r="H77" s="211">
        <f>'ADJ DETAIL INPUT'!Y76</f>
        <v>0</v>
      </c>
      <c r="I77" s="253">
        <f>J77-H77</f>
        <v>0</v>
      </c>
      <c r="J77" s="211">
        <f>'ADJ DETAIL INPUT'!AT76</f>
        <v>0</v>
      </c>
      <c r="K77" s="253"/>
      <c r="L77" s="253">
        <f t="shared" si="19"/>
        <v>0</v>
      </c>
      <c r="AF77" s="260"/>
      <c r="AG77" s="261"/>
    </row>
    <row r="78" spans="1:33">
      <c r="A78" s="113">
        <v>45</v>
      </c>
      <c r="B78" s="252" t="s">
        <v>386</v>
      </c>
      <c r="C78" s="252"/>
      <c r="D78" s="252"/>
      <c r="E78" s="252"/>
      <c r="F78" s="253">
        <f>'ADJ DETAIL INPUT'!E77</f>
        <v>-5644</v>
      </c>
      <c r="G78" s="253">
        <f>H78-F78</f>
        <v>-12205</v>
      </c>
      <c r="H78" s="211">
        <f>'ADJ DETAIL INPUT'!Y77</f>
        <v>-17849</v>
      </c>
      <c r="I78" s="253">
        <f>J78-H78</f>
        <v>8512</v>
      </c>
      <c r="J78" s="211">
        <f>'ADJ DETAIL INPUT'!AT77</f>
        <v>-9337</v>
      </c>
      <c r="K78" s="253"/>
      <c r="L78" s="253">
        <f t="shared" si="19"/>
        <v>-9337</v>
      </c>
      <c r="AF78" s="260"/>
      <c r="AG78" s="261"/>
    </row>
    <row r="79" spans="1:33">
      <c r="A79" s="113">
        <v>46</v>
      </c>
      <c r="B79" s="252" t="s">
        <v>169</v>
      </c>
      <c r="C79" s="252"/>
      <c r="D79" s="252"/>
      <c r="E79" s="252"/>
      <c r="F79" s="214">
        <f>'ADJ DETAIL INPUT'!E78</f>
        <v>2649</v>
      </c>
      <c r="G79" s="214">
        <f>H79-F79</f>
        <v>-160</v>
      </c>
      <c r="H79" s="213">
        <f>'ADJ DETAIL INPUT'!Y78</f>
        <v>2489</v>
      </c>
      <c r="I79" s="214">
        <f>J79-H79</f>
        <v>0</v>
      </c>
      <c r="J79" s="213">
        <f>'ADJ DETAIL INPUT'!AT78</f>
        <v>2489</v>
      </c>
      <c r="K79" s="214"/>
      <c r="L79" s="214">
        <f t="shared" si="19"/>
        <v>2489</v>
      </c>
      <c r="AF79" s="260"/>
      <c r="AG79" s="261"/>
    </row>
    <row r="80" spans="1:33" ht="3" customHeight="1">
      <c r="A80" s="113"/>
      <c r="B80" s="1"/>
      <c r="C80" s="1"/>
      <c r="D80" s="1"/>
      <c r="E80" s="1"/>
      <c r="F80" s="39"/>
      <c r="G80" s="39"/>
      <c r="H80" s="68"/>
      <c r="I80" s="39"/>
      <c r="J80" s="68"/>
      <c r="K80" s="39"/>
      <c r="L80" s="39"/>
      <c r="AF80" s="260"/>
      <c r="AG80" s="261"/>
    </row>
    <row r="81" spans="1:37" ht="13.5" thickBot="1">
      <c r="A81" s="113">
        <v>47</v>
      </c>
      <c r="B81" s="2" t="s">
        <v>68</v>
      </c>
      <c r="C81" s="2"/>
      <c r="D81" s="2"/>
      <c r="E81" s="2"/>
      <c r="F81" s="67">
        <f>F79+F77+F76+F75+F78</f>
        <v>446796</v>
      </c>
      <c r="G81" s="67">
        <f>G79+G77+G76+G75+G78</f>
        <v>14357</v>
      </c>
      <c r="H81" s="67">
        <f>H79+H77+H76+H75+H78</f>
        <v>461153</v>
      </c>
      <c r="I81" s="67">
        <f>I79+I77+I76+I75+I78</f>
        <v>53789</v>
      </c>
      <c r="J81" s="67">
        <f>J79+J77+J76+J75+J78</f>
        <v>514942</v>
      </c>
      <c r="K81" s="67">
        <f>K79+K77+K76+K75</f>
        <v>0</v>
      </c>
      <c r="L81" s="67">
        <f>L79+L77+L76+L75+L78</f>
        <v>514942</v>
      </c>
      <c r="AF81" s="260"/>
      <c r="AG81" s="261"/>
    </row>
    <row r="82" spans="1:37" ht="13.5" thickTop="1">
      <c r="A82" s="113">
        <v>48</v>
      </c>
      <c r="B82" s="1" t="s">
        <v>424</v>
      </c>
      <c r="C82" s="1"/>
      <c r="D82" s="1"/>
      <c r="E82" s="1"/>
      <c r="F82" s="284">
        <f>ROUND(F59/F81,4)</f>
        <v>6.5799999999999997E-2</v>
      </c>
      <c r="G82" s="64"/>
      <c r="H82" s="284">
        <f>ROUND(H59/H81,4)</f>
        <v>5.8700000000000002E-2</v>
      </c>
      <c r="I82" s="64"/>
      <c r="J82" s="284">
        <f>ROUND(J59/J81,4)</f>
        <v>5.7099999999999998E-2</v>
      </c>
      <c r="K82" s="6"/>
      <c r="L82" s="284">
        <f>ROUND(L59/L81,4)</f>
        <v>7.3099999999999998E-2</v>
      </c>
      <c r="AF82" s="260"/>
      <c r="AG82" s="261"/>
    </row>
    <row r="83" spans="1:37" ht="7.5" customHeight="1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AF83" s="266"/>
      <c r="AG83" s="267"/>
    </row>
    <row r="84" spans="1:37" ht="13.5" thickBot="1">
      <c r="A84" s="65"/>
      <c r="B84" s="66"/>
      <c r="C84" s="66"/>
      <c r="D84" s="66"/>
      <c r="E84" s="41"/>
      <c r="F84" s="41"/>
      <c r="G84" s="41"/>
      <c r="H84" s="41"/>
      <c r="I84" s="41"/>
      <c r="J84" s="41"/>
      <c r="K84" s="41"/>
      <c r="L84" s="41"/>
      <c r="AF84" s="262"/>
      <c r="AG84" s="263"/>
      <c r="AK84" s="330">
        <f>AK90</f>
        <v>0</v>
      </c>
    </row>
    <row r="1048576" spans="8:8">
      <c r="H1048576" s="112">
        <f>SUM(H83:H1048575)</f>
        <v>0</v>
      </c>
    </row>
  </sheetData>
  <mergeCells count="1">
    <mergeCell ref="F6:L6"/>
  </mergeCells>
  <pageMargins left="0.75" right="0.5" top="0.97" bottom="0.84" header="0.5" footer="0.5"/>
  <pageSetup scale="69" orientation="portrait" r:id="rId1"/>
  <headerFooter scaleWithDoc="0" alignWithMargins="0">
    <oddHeader>&amp;RExh. EMA-3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EBF8-D389-4E29-AA63-081E4DA738D6}">
  <sheetPr codeName="Sheet6"/>
  <dimension ref="A1:AQ1048576"/>
  <sheetViews>
    <sheetView workbookViewId="0">
      <selection activeCell="E39" sqref="E39"/>
    </sheetView>
  </sheetViews>
  <sheetFormatPr defaultColWidth="9.140625" defaultRowHeight="12.75"/>
  <cols>
    <col min="1" max="1" width="4.5703125" style="43" customWidth="1"/>
    <col min="2" max="3" width="1.5703125" style="42" customWidth="1"/>
    <col min="4" max="4" width="2.5703125" style="42" customWidth="1"/>
    <col min="5" max="5" width="25.42578125" style="112" customWidth="1"/>
    <col min="6" max="6" width="14" style="112" customWidth="1"/>
    <col min="7" max="7" width="13.42578125" style="112" customWidth="1"/>
    <col min="8" max="8" width="14.5703125" style="112" customWidth="1"/>
    <col min="9" max="9" width="17.85546875" style="112" customWidth="1"/>
    <col min="10" max="10" width="17.42578125" style="112" bestFit="1" customWidth="1"/>
    <col min="11" max="11" width="18.42578125" style="330" bestFit="1" customWidth="1"/>
    <col min="12" max="13" width="9" style="330" customWidth="1"/>
    <col min="14" max="14" width="9.140625" style="330"/>
    <col min="15" max="15" width="10.28515625" style="330" customWidth="1"/>
    <col min="16" max="16" width="9.140625" style="330"/>
    <col min="17" max="17" width="11.140625" style="330" bestFit="1" customWidth="1"/>
    <col min="18" max="30" width="9.140625" style="330"/>
    <col min="31" max="31" width="14.5703125" style="330" customWidth="1"/>
    <col min="32" max="32" width="13" style="330" customWidth="1"/>
    <col min="33" max="16384" width="9.140625" style="330"/>
  </cols>
  <sheetData>
    <row r="1" spans="1:43" ht="15">
      <c r="A1" s="369" t="str">
        <f>'ROO INPUT 1.00'!A3:C3</f>
        <v>AVISTA UTILITIES</v>
      </c>
      <c r="D1" s="43"/>
      <c r="F1" s="356"/>
      <c r="G1" s="356"/>
    </row>
    <row r="2" spans="1:43" ht="15" customHeight="1">
      <c r="A2" s="369" t="str">
        <f>'ADJ DETAIL INPUT'!A3</f>
        <v>WASHINGTON NATURAL GAS</v>
      </c>
      <c r="D2" s="43"/>
      <c r="G2" s="92"/>
      <c r="H2" s="93"/>
      <c r="I2" s="93"/>
      <c r="J2" s="93"/>
      <c r="K2" s="333"/>
      <c r="L2" s="333"/>
      <c r="M2" s="333"/>
      <c r="N2" s="333"/>
    </row>
    <row r="3" spans="1:43" ht="15" customHeight="1">
      <c r="A3" s="369" t="str">
        <f>'ROO INPUT 1.00'!A5:C5</f>
        <v>TWELVE MONTHS ENDED SEPTEMBER 30, 2021</v>
      </c>
      <c r="D3" s="43"/>
      <c r="G3" s="92"/>
      <c r="H3" s="93"/>
      <c r="I3" s="93"/>
      <c r="J3" s="93"/>
      <c r="K3" s="333"/>
      <c r="L3" s="333"/>
      <c r="M3" s="333"/>
      <c r="N3" s="333"/>
    </row>
    <row r="4" spans="1:43" ht="15">
      <c r="A4" s="369" t="str">
        <f>'ROO INPUT 1.00'!A6:C6</f>
        <v xml:space="preserve">(000'S OF DOLLARS)   </v>
      </c>
      <c r="D4" s="43"/>
      <c r="G4" s="580"/>
      <c r="H4" s="580"/>
    </row>
    <row r="5" spans="1:43" ht="13.5" thickBot="1">
      <c r="D5" s="43"/>
    </row>
    <row r="6" spans="1:43" ht="14.25">
      <c r="D6" s="43"/>
      <c r="F6" s="1044" t="s">
        <v>652</v>
      </c>
      <c r="G6" s="1045"/>
      <c r="H6" s="1045"/>
      <c r="I6" s="1045"/>
      <c r="J6" s="1045"/>
      <c r="K6" s="1048"/>
      <c r="AD6" s="333"/>
      <c r="AE6" s="258"/>
      <c r="AF6" s="259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</row>
    <row r="7" spans="1:43">
      <c r="A7" s="44"/>
      <c r="B7" s="44"/>
      <c r="C7" s="45"/>
      <c r="D7" s="45"/>
      <c r="E7" s="44"/>
      <c r="F7" s="685" t="s">
        <v>653</v>
      </c>
      <c r="G7" s="937"/>
      <c r="H7" s="938"/>
      <c r="I7" s="939"/>
      <c r="J7" s="685" t="s">
        <v>654</v>
      </c>
      <c r="K7" s="938"/>
      <c r="P7" s="333"/>
      <c r="Y7" s="333"/>
      <c r="Z7" s="333"/>
      <c r="AD7" s="333"/>
      <c r="AE7" s="264"/>
      <c r="AF7" s="265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</row>
    <row r="8" spans="1:43">
      <c r="A8" s="47"/>
      <c r="B8" s="48"/>
      <c r="C8" s="49"/>
      <c r="D8" s="50"/>
      <c r="E8" s="51"/>
      <c r="F8" s="679" t="s">
        <v>651</v>
      </c>
      <c r="G8" s="679" t="s">
        <v>655</v>
      </c>
      <c r="H8" s="679" t="s">
        <v>655</v>
      </c>
      <c r="I8" s="686" t="s">
        <v>656</v>
      </c>
      <c r="J8" s="686" t="s">
        <v>657</v>
      </c>
      <c r="K8" s="686" t="s">
        <v>658</v>
      </c>
      <c r="AE8" s="260"/>
      <c r="AF8" s="261"/>
    </row>
    <row r="9" spans="1:43">
      <c r="A9" s="52" t="s">
        <v>7</v>
      </c>
      <c r="B9" s="53"/>
      <c r="C9" s="54"/>
      <c r="D9" s="55"/>
      <c r="E9" s="56"/>
      <c r="F9" s="680" t="s">
        <v>15</v>
      </c>
      <c r="G9" s="680" t="s">
        <v>25</v>
      </c>
      <c r="H9" s="680" t="s">
        <v>15</v>
      </c>
      <c r="I9" s="680" t="s">
        <v>143</v>
      </c>
      <c r="J9" s="680" t="s">
        <v>143</v>
      </c>
      <c r="K9" s="680" t="s">
        <v>142</v>
      </c>
      <c r="AE9" s="260"/>
      <c r="AF9" s="261"/>
    </row>
    <row r="10" spans="1:43">
      <c r="A10" s="57" t="s">
        <v>16</v>
      </c>
      <c r="B10" s="58"/>
      <c r="C10" s="59"/>
      <c r="D10" s="60"/>
      <c r="E10" s="61" t="s">
        <v>17</v>
      </c>
      <c r="F10" s="681" t="s">
        <v>25</v>
      </c>
      <c r="G10" s="681" t="s">
        <v>117</v>
      </c>
      <c r="H10" s="681" t="s">
        <v>25</v>
      </c>
      <c r="I10" s="681" t="s">
        <v>144</v>
      </c>
      <c r="J10" s="681" t="s">
        <v>144</v>
      </c>
      <c r="K10" s="681" t="s">
        <v>25</v>
      </c>
      <c r="AE10" s="260"/>
      <c r="AF10" s="261"/>
    </row>
    <row r="11" spans="1:43">
      <c r="A11" s="62"/>
      <c r="B11" s="62"/>
      <c r="C11" s="63"/>
      <c r="D11" s="63"/>
      <c r="E11" s="63" t="s">
        <v>26</v>
      </c>
      <c r="F11" s="20" t="s">
        <v>27</v>
      </c>
      <c r="G11" s="556" t="s">
        <v>28</v>
      </c>
      <c r="H11" s="556" t="s">
        <v>29</v>
      </c>
      <c r="I11" s="20" t="s">
        <v>30</v>
      </c>
      <c r="J11" s="20" t="s">
        <v>31</v>
      </c>
      <c r="K11" s="20" t="s">
        <v>579</v>
      </c>
      <c r="AE11" s="260"/>
      <c r="AF11" s="261"/>
    </row>
    <row r="12" spans="1:43" ht="3.75" customHeight="1">
      <c r="A12" s="62"/>
      <c r="B12" s="62"/>
      <c r="C12" s="63"/>
      <c r="D12" s="63"/>
      <c r="E12" s="63"/>
      <c r="F12" s="20"/>
      <c r="G12" s="20"/>
      <c r="H12" s="20"/>
      <c r="I12" s="20"/>
      <c r="J12" s="20"/>
      <c r="K12" s="20"/>
      <c r="AE12" s="260"/>
      <c r="AF12" s="261"/>
    </row>
    <row r="13" spans="1:43" ht="2.25" customHeight="1">
      <c r="A13" s="62"/>
      <c r="B13" s="62"/>
      <c r="C13" s="63"/>
      <c r="D13" s="63"/>
      <c r="E13" s="63"/>
      <c r="F13" s="20"/>
      <c r="G13" s="20"/>
      <c r="H13" s="20"/>
      <c r="I13" s="20"/>
      <c r="J13" s="20"/>
      <c r="K13" s="20"/>
      <c r="AE13" s="260"/>
      <c r="AF13" s="261"/>
    </row>
    <row r="14" spans="1:43">
      <c r="A14" s="113"/>
      <c r="B14" s="1" t="s">
        <v>32</v>
      </c>
      <c r="C14" s="1"/>
      <c r="D14" s="1"/>
      <c r="E14" s="1"/>
      <c r="F14" s="39"/>
      <c r="G14" s="39"/>
      <c r="K14" s="112"/>
      <c r="AE14" s="260"/>
      <c r="AF14" s="261"/>
    </row>
    <row r="15" spans="1:43">
      <c r="A15" s="113">
        <v>1</v>
      </c>
      <c r="B15" s="2"/>
      <c r="C15" s="2" t="s">
        <v>33</v>
      </c>
      <c r="D15" s="2"/>
      <c r="E15" s="2"/>
      <c r="F15" s="40">
        <f>'PROP0SED RATES-12.2022'!J15</f>
        <v>109868</v>
      </c>
      <c r="G15" s="40">
        <f>H15-F15</f>
        <v>0</v>
      </c>
      <c r="H15" s="40">
        <f>'ADJ DETAIL INPUT'!BF14</f>
        <v>109868</v>
      </c>
      <c r="I15" s="40">
        <f>CF!J12</f>
        <v>10922</v>
      </c>
      <c r="J15" s="297">
        <f>CF!K12</f>
        <v>2171.5002150998789</v>
      </c>
      <c r="K15" s="40">
        <f>H15+I15+J15</f>
        <v>122961.50021509988</v>
      </c>
      <c r="AE15" s="260"/>
      <c r="AF15" s="261"/>
    </row>
    <row r="16" spans="1:43">
      <c r="A16" s="113">
        <v>2</v>
      </c>
      <c r="B16" s="1"/>
      <c r="C16" s="3" t="s">
        <v>34</v>
      </c>
      <c r="D16" s="3"/>
      <c r="E16" s="3"/>
      <c r="F16" s="68">
        <f>'PROP0SED RATES-12.2022'!J16</f>
        <v>4991</v>
      </c>
      <c r="G16" s="211">
        <f>H16-F16</f>
        <v>0</v>
      </c>
      <c r="H16" s="211">
        <f>'ADJ DETAIL INPUT'!BF15</f>
        <v>4991</v>
      </c>
      <c r="I16" s="211"/>
      <c r="J16" s="211"/>
      <c r="K16" s="68">
        <f>H16+I16+J16</f>
        <v>4991</v>
      </c>
      <c r="AE16" s="260"/>
      <c r="AF16" s="261"/>
    </row>
    <row r="17" spans="1:32">
      <c r="A17" s="113">
        <v>3</v>
      </c>
      <c r="B17" s="1"/>
      <c r="C17" s="3" t="s">
        <v>35</v>
      </c>
      <c r="D17" s="3"/>
      <c r="E17" s="3"/>
      <c r="F17" s="687">
        <f>'PROP0SED RATES-12.2022'!J17</f>
        <v>3871</v>
      </c>
      <c r="G17" s="213">
        <f>H17-F17</f>
        <v>1357</v>
      </c>
      <c r="H17" s="213">
        <f>'ADJ DETAIL INPUT'!BF16</f>
        <v>5228</v>
      </c>
      <c r="I17" s="213"/>
      <c r="J17" s="213"/>
      <c r="K17" s="687">
        <f>H17+I17+J17</f>
        <v>5228</v>
      </c>
      <c r="N17" s="959"/>
      <c r="O17" s="959"/>
      <c r="P17" s="959"/>
      <c r="Q17" s="959"/>
      <c r="R17" s="959"/>
      <c r="S17" s="959"/>
      <c r="AE17" s="260"/>
      <c r="AF17" s="261"/>
    </row>
    <row r="18" spans="1:32">
      <c r="A18" s="113">
        <v>4</v>
      </c>
      <c r="B18" s="1" t="s">
        <v>36</v>
      </c>
      <c r="C18" s="3"/>
      <c r="D18" s="3"/>
      <c r="E18" s="3"/>
      <c r="F18" s="211">
        <f>SUM(F15:F17)</f>
        <v>118730</v>
      </c>
      <c r="G18" s="211">
        <f t="shared" ref="G18:K18" si="0">SUM(G15:G17)</f>
        <v>1357</v>
      </c>
      <c r="H18" s="211">
        <f t="shared" si="0"/>
        <v>120087</v>
      </c>
      <c r="I18" s="211">
        <f t="shared" si="0"/>
        <v>10922</v>
      </c>
      <c r="J18" s="211">
        <f t="shared" si="0"/>
        <v>2171.5002150998789</v>
      </c>
      <c r="K18" s="211">
        <f t="shared" si="0"/>
        <v>133180.50021509989</v>
      </c>
      <c r="N18" s="959"/>
      <c r="O18" s="959"/>
      <c r="P18" s="959"/>
      <c r="Q18" s="959"/>
      <c r="R18" s="959"/>
      <c r="S18" s="959"/>
      <c r="AE18" s="260"/>
      <c r="AF18" s="261"/>
    </row>
    <row r="19" spans="1:32" ht="4.5" customHeight="1">
      <c r="A19" s="113"/>
      <c r="B19" s="1"/>
      <c r="C19" s="3"/>
      <c r="D19" s="3"/>
      <c r="E19" s="3"/>
      <c r="F19" s="211"/>
      <c r="G19" s="211"/>
      <c r="H19" s="211"/>
      <c r="I19" s="211"/>
      <c r="J19" s="211"/>
      <c r="K19" s="211"/>
      <c r="N19" s="959"/>
      <c r="O19" s="959"/>
      <c r="P19" s="959"/>
      <c r="Q19" s="959"/>
      <c r="R19" s="959"/>
      <c r="S19" s="959"/>
      <c r="AE19" s="260"/>
      <c r="AF19" s="261"/>
    </row>
    <row r="20" spans="1:32">
      <c r="A20" s="113"/>
      <c r="B20" s="1" t="s">
        <v>37</v>
      </c>
      <c r="C20" s="3"/>
      <c r="D20" s="3"/>
      <c r="E20" s="3"/>
      <c r="F20" s="211"/>
      <c r="G20" s="211"/>
      <c r="H20" s="211"/>
      <c r="I20" s="211"/>
      <c r="J20" s="211"/>
      <c r="K20" s="211"/>
      <c r="N20" s="959"/>
      <c r="O20" s="959"/>
      <c r="P20" s="959"/>
      <c r="Q20" s="959"/>
      <c r="R20" s="959"/>
      <c r="S20" s="959"/>
      <c r="AE20" s="260"/>
      <c r="AF20" s="261"/>
    </row>
    <row r="21" spans="1:32">
      <c r="A21" s="113"/>
      <c r="B21" s="1"/>
      <c r="C21" s="3" t="s">
        <v>208</v>
      </c>
      <c r="D21" s="3"/>
      <c r="E21" s="3"/>
      <c r="F21" s="211"/>
      <c r="G21" s="211"/>
      <c r="H21" s="211"/>
      <c r="I21" s="211"/>
      <c r="J21" s="211"/>
      <c r="K21" s="211"/>
      <c r="N21" s="959"/>
      <c r="O21" s="959"/>
      <c r="P21" s="1034"/>
      <c r="Q21" s="959"/>
      <c r="R21" s="959"/>
      <c r="S21" s="959"/>
      <c r="AE21" s="260"/>
      <c r="AF21" s="261"/>
    </row>
    <row r="22" spans="1:32">
      <c r="A22" s="113">
        <v>5</v>
      </c>
      <c r="B22" s="1"/>
      <c r="C22" s="3"/>
      <c r="D22" s="3" t="s">
        <v>38</v>
      </c>
      <c r="E22" s="3"/>
      <c r="F22" s="68">
        <f>'PROP0SED RATES-12.2022'!J22</f>
        <v>0</v>
      </c>
      <c r="G22" s="211">
        <f>H22-F22</f>
        <v>0</v>
      </c>
      <c r="H22" s="211">
        <f>'ADJ DETAIL INPUT'!BF21</f>
        <v>0</v>
      </c>
      <c r="I22" s="211"/>
      <c r="J22" s="211"/>
      <c r="K22" s="68">
        <f t="shared" ref="K22:K23" si="1">H22+I22+J22</f>
        <v>0</v>
      </c>
      <c r="N22" s="959"/>
      <c r="O22" s="959"/>
      <c r="P22" s="1034"/>
      <c r="Q22" s="959"/>
      <c r="R22" s="959"/>
      <c r="S22" s="959"/>
      <c r="AE22" s="260"/>
      <c r="AF22" s="261"/>
    </row>
    <row r="23" spans="1:32">
      <c r="A23" s="113">
        <v>6</v>
      </c>
      <c r="B23" s="1"/>
      <c r="C23" s="3"/>
      <c r="D23" s="3" t="s">
        <v>39</v>
      </c>
      <c r="E23" s="3"/>
      <c r="F23" s="68">
        <f>'PROP0SED RATES-12.2022'!J23</f>
        <v>816.92600000000004</v>
      </c>
      <c r="G23" s="211">
        <f>H23-F23</f>
        <v>27.745000000000005</v>
      </c>
      <c r="H23" s="211">
        <f>'ADJ DETAIL INPUT'!BF22</f>
        <v>844.67100000000005</v>
      </c>
      <c r="I23" s="211"/>
      <c r="J23" s="211"/>
      <c r="K23" s="68">
        <f t="shared" si="1"/>
        <v>844.67100000000005</v>
      </c>
      <c r="N23" s="959"/>
      <c r="O23" s="959"/>
      <c r="P23" s="1034"/>
      <c r="Q23" s="959"/>
      <c r="R23" s="959"/>
      <c r="S23" s="959"/>
      <c r="AE23" s="260"/>
      <c r="AF23" s="261"/>
    </row>
    <row r="24" spans="1:32">
      <c r="A24" s="113">
        <v>7</v>
      </c>
      <c r="B24" s="1"/>
      <c r="C24" s="3"/>
      <c r="D24" s="3" t="s">
        <v>40</v>
      </c>
      <c r="E24" s="3"/>
      <c r="F24" s="687">
        <f>'PROP0SED RATES-12.2022'!J24</f>
        <v>0</v>
      </c>
      <c r="G24" s="213">
        <f>H24-F24</f>
        <v>0</v>
      </c>
      <c r="H24" s="213">
        <f>'ADJ DETAIL INPUT'!BF23</f>
        <v>0</v>
      </c>
      <c r="I24" s="213"/>
      <c r="J24" s="213"/>
      <c r="K24" s="687">
        <f>H24+I24+J24</f>
        <v>0</v>
      </c>
      <c r="N24" s="959"/>
      <c r="O24" s="959"/>
      <c r="P24" s="1034"/>
      <c r="Q24" s="959"/>
      <c r="R24" s="959"/>
      <c r="S24" s="959"/>
      <c r="AE24" s="260"/>
      <c r="AF24" s="261"/>
    </row>
    <row r="25" spans="1:32">
      <c r="A25" s="113">
        <v>8</v>
      </c>
      <c r="B25" s="1"/>
      <c r="C25" s="3"/>
      <c r="D25" s="3"/>
      <c r="E25" s="3" t="s">
        <v>41</v>
      </c>
      <c r="F25" s="211">
        <f>SUM(F22:F24)</f>
        <v>816.92600000000004</v>
      </c>
      <c r="G25" s="211">
        <f t="shared" ref="G25:K25" si="2">SUM(G22:G24)</f>
        <v>27.745000000000005</v>
      </c>
      <c r="H25" s="211">
        <f t="shared" si="2"/>
        <v>844.67100000000005</v>
      </c>
      <c r="I25" s="211">
        <f t="shared" si="2"/>
        <v>0</v>
      </c>
      <c r="J25" s="211">
        <f t="shared" si="2"/>
        <v>0</v>
      </c>
      <c r="K25" s="211">
        <f t="shared" si="2"/>
        <v>844.67100000000005</v>
      </c>
      <c r="N25" s="959"/>
      <c r="O25" s="959"/>
      <c r="P25" s="1034"/>
      <c r="Q25" s="959"/>
      <c r="R25" s="959"/>
      <c r="S25" s="959"/>
      <c r="AE25" s="260"/>
      <c r="AF25" s="261"/>
    </row>
    <row r="26" spans="1:32" ht="5.25" customHeight="1">
      <c r="A26" s="113"/>
      <c r="B26" s="1"/>
      <c r="C26" s="3"/>
      <c r="D26" s="3"/>
      <c r="E26" s="3"/>
      <c r="F26" s="211"/>
      <c r="G26" s="211"/>
      <c r="H26" s="212"/>
      <c r="I26" s="212"/>
      <c r="J26" s="211"/>
      <c r="K26" s="211"/>
      <c r="N26" s="959"/>
      <c r="O26" s="959"/>
      <c r="P26" s="959"/>
      <c r="Q26" s="959"/>
      <c r="R26" s="959"/>
      <c r="S26" s="959"/>
      <c r="AE26" s="260"/>
      <c r="AF26" s="261"/>
    </row>
    <row r="27" spans="1:32">
      <c r="A27" s="113"/>
      <c r="B27" s="1"/>
      <c r="C27" s="3" t="s">
        <v>42</v>
      </c>
      <c r="D27" s="3"/>
      <c r="E27" s="3"/>
      <c r="F27" s="211"/>
      <c r="G27" s="211"/>
      <c r="H27" s="211"/>
      <c r="I27" s="211"/>
      <c r="J27" s="211"/>
      <c r="K27" s="211"/>
      <c r="N27" s="959"/>
      <c r="O27" s="959"/>
      <c r="P27" s="1034"/>
      <c r="Q27" s="959"/>
      <c r="R27" s="959"/>
      <c r="S27" s="959"/>
      <c r="AE27" s="260"/>
      <c r="AF27" s="261"/>
    </row>
    <row r="28" spans="1:32">
      <c r="A28" s="113">
        <v>9</v>
      </c>
      <c r="B28" s="1"/>
      <c r="C28" s="3"/>
      <c r="D28" s="3" t="s">
        <v>43</v>
      </c>
      <c r="E28" s="3"/>
      <c r="F28" s="68">
        <f>'PROP0SED RATES-12.2022'!J28</f>
        <v>2277.5459999999998</v>
      </c>
      <c r="G28" s="211">
        <f>H28-F28</f>
        <v>142.43100000000004</v>
      </c>
      <c r="H28" s="211">
        <f>'ADJ DETAIL INPUT'!BF27</f>
        <v>2419.9769999999999</v>
      </c>
      <c r="I28" s="211"/>
      <c r="J28" s="211"/>
      <c r="K28" s="68">
        <f t="shared" ref="K28:K29" si="3">H28+I28+J28</f>
        <v>2419.9769999999999</v>
      </c>
      <c r="N28" s="959"/>
      <c r="O28" s="959"/>
      <c r="P28" s="1034"/>
      <c r="Q28" s="959"/>
      <c r="R28" s="959"/>
      <c r="S28" s="959"/>
      <c r="AE28" s="260"/>
      <c r="AF28" s="261"/>
    </row>
    <row r="29" spans="1:32">
      <c r="A29" s="113">
        <v>10</v>
      </c>
      <c r="B29" s="1"/>
      <c r="C29" s="3"/>
      <c r="D29" s="3" t="s">
        <v>44</v>
      </c>
      <c r="E29" s="3"/>
      <c r="F29" s="68">
        <f>'PROP0SED RATES-12.2022'!J29</f>
        <v>517</v>
      </c>
      <c r="G29" s="211">
        <f>H29-F29</f>
        <v>22</v>
      </c>
      <c r="H29" s="211">
        <f>'ADJ DETAIL INPUT'!BF28</f>
        <v>539</v>
      </c>
      <c r="I29" s="211"/>
      <c r="J29" s="211"/>
      <c r="K29" s="68">
        <f t="shared" si="3"/>
        <v>539</v>
      </c>
      <c r="N29" s="959"/>
      <c r="O29" s="959"/>
      <c r="P29" s="959"/>
      <c r="Q29" s="959"/>
      <c r="R29" s="959"/>
      <c r="S29" s="959"/>
      <c r="AE29" s="260"/>
      <c r="AF29" s="261"/>
    </row>
    <row r="30" spans="1:32">
      <c r="A30" s="242">
        <v>11</v>
      </c>
      <c r="B30" s="1"/>
      <c r="C30" s="3"/>
      <c r="D30" s="3" t="s">
        <v>21</v>
      </c>
      <c r="E30" s="3"/>
      <c r="F30" s="687">
        <f>'PROP0SED RATES-12.2022'!J30</f>
        <v>218</v>
      </c>
      <c r="G30" s="213">
        <f>H30-F30</f>
        <v>14</v>
      </c>
      <c r="H30" s="213">
        <f>'ADJ DETAIL INPUT'!BF29</f>
        <v>232</v>
      </c>
      <c r="I30" s="213"/>
      <c r="J30" s="213"/>
      <c r="K30" s="687">
        <f>H30+I30+J30</f>
        <v>232</v>
      </c>
      <c r="N30" s="959"/>
      <c r="O30" s="959"/>
      <c r="P30" s="959"/>
      <c r="Q30" s="959"/>
      <c r="R30" s="959"/>
      <c r="S30" s="959"/>
      <c r="AE30" s="260"/>
      <c r="AF30" s="261"/>
    </row>
    <row r="31" spans="1:32">
      <c r="A31" s="113">
        <v>12</v>
      </c>
      <c r="B31" s="1"/>
      <c r="C31" s="3"/>
      <c r="D31" s="3"/>
      <c r="E31" s="3" t="s">
        <v>45</v>
      </c>
      <c r="F31" s="211">
        <f t="shared" ref="F31:K31" si="4">SUM(F28:F30)</f>
        <v>3012.5459999999998</v>
      </c>
      <c r="G31" s="211">
        <f t="shared" si="4"/>
        <v>178.43100000000004</v>
      </c>
      <c r="H31" s="211">
        <f t="shared" si="4"/>
        <v>3190.9769999999999</v>
      </c>
      <c r="I31" s="211">
        <f t="shared" si="4"/>
        <v>0</v>
      </c>
      <c r="J31" s="211">
        <f t="shared" si="4"/>
        <v>0</v>
      </c>
      <c r="K31" s="211">
        <f t="shared" si="4"/>
        <v>3190.9769999999999</v>
      </c>
      <c r="AE31" s="260"/>
      <c r="AF31" s="261"/>
    </row>
    <row r="32" spans="1:32" ht="3" customHeight="1">
      <c r="A32" s="113"/>
      <c r="B32" s="1"/>
      <c r="C32" s="3"/>
      <c r="D32" s="3"/>
      <c r="E32" s="3"/>
      <c r="F32" s="211"/>
      <c r="G32" s="211"/>
      <c r="H32" s="212"/>
      <c r="I32" s="212"/>
      <c r="J32" s="211"/>
      <c r="K32" s="211"/>
      <c r="AE32" s="260"/>
      <c r="AF32" s="261"/>
    </row>
    <row r="33" spans="1:32">
      <c r="A33" s="113"/>
      <c r="B33" s="1"/>
      <c r="C33" s="3" t="s">
        <v>46</v>
      </c>
      <c r="D33" s="3"/>
      <c r="E33" s="3"/>
      <c r="F33" s="211"/>
      <c r="G33" s="211"/>
      <c r="H33" s="211"/>
      <c r="I33" s="211"/>
      <c r="J33" s="211"/>
      <c r="K33" s="211"/>
      <c r="AE33" s="260"/>
      <c r="AF33" s="261"/>
    </row>
    <row r="34" spans="1:32">
      <c r="A34" s="113">
        <v>13</v>
      </c>
      <c r="B34" s="1"/>
      <c r="C34" s="3"/>
      <c r="D34" s="3" t="s">
        <v>43</v>
      </c>
      <c r="E34" s="3"/>
      <c r="F34" s="68">
        <f>'PROP0SED RATES-12.2022'!J34</f>
        <v>13411.708000000001</v>
      </c>
      <c r="G34" s="211">
        <f>H34-F34</f>
        <v>465.98099999999977</v>
      </c>
      <c r="H34" s="211">
        <f>'ADJ DETAIL INPUT'!BF33</f>
        <v>13877.689</v>
      </c>
      <c r="I34" s="211"/>
      <c r="J34" s="211"/>
      <c r="K34" s="68">
        <f t="shared" ref="K34:K35" si="5">H34+I34+J34</f>
        <v>13877.689</v>
      </c>
      <c r="AE34" s="260"/>
      <c r="AF34" s="261"/>
    </row>
    <row r="35" spans="1:32">
      <c r="A35" s="113">
        <v>14</v>
      </c>
      <c r="B35" s="1"/>
      <c r="C35" s="3"/>
      <c r="D35" s="3" t="s">
        <v>44</v>
      </c>
      <c r="E35" s="3"/>
      <c r="F35" s="68">
        <f>'PROP0SED RATES-12.2022'!J35</f>
        <v>16717</v>
      </c>
      <c r="G35" s="211">
        <f>H35-F35</f>
        <v>846</v>
      </c>
      <c r="H35" s="211">
        <f>'ADJ DETAIL INPUT'!BF34</f>
        <v>17563</v>
      </c>
      <c r="I35" s="211"/>
      <c r="J35" s="211"/>
      <c r="K35" s="68">
        <f t="shared" si="5"/>
        <v>17563</v>
      </c>
      <c r="AE35" s="260"/>
      <c r="AF35" s="261"/>
    </row>
    <row r="36" spans="1:32">
      <c r="A36" s="113">
        <v>15</v>
      </c>
      <c r="B36" s="1"/>
      <c r="C36" s="3"/>
      <c r="D36" s="3" t="s">
        <v>21</v>
      </c>
      <c r="E36" s="3"/>
      <c r="F36" s="687">
        <f>'PROP0SED RATES-12.2022'!J36</f>
        <v>8301</v>
      </c>
      <c r="G36" s="213">
        <f>H36-F36</f>
        <v>248</v>
      </c>
      <c r="H36" s="213">
        <f>'ADJ DETAIL INPUT'!BF35</f>
        <v>8549</v>
      </c>
      <c r="I36" s="213">
        <f>CF!J19</f>
        <v>419</v>
      </c>
      <c r="J36" s="213">
        <f>CF!K19</f>
        <v>83</v>
      </c>
      <c r="K36" s="687">
        <f>H36+I36+J36</f>
        <v>9051</v>
      </c>
      <c r="AE36" s="260"/>
      <c r="AF36" s="261"/>
    </row>
    <row r="37" spans="1:32">
      <c r="A37" s="113">
        <v>16</v>
      </c>
      <c r="B37" s="1"/>
      <c r="C37" s="3"/>
      <c r="D37" s="3"/>
      <c r="E37" s="3" t="s">
        <v>47</v>
      </c>
      <c r="F37" s="211">
        <f>SUM(F34:F36)</f>
        <v>38429.707999999999</v>
      </c>
      <c r="G37" s="211">
        <f t="shared" ref="G37:K37" si="6">SUM(G34:G36)</f>
        <v>1559.9809999999998</v>
      </c>
      <c r="H37" s="211">
        <f t="shared" si="6"/>
        <v>39989.688999999998</v>
      </c>
      <c r="I37" s="211">
        <f t="shared" si="6"/>
        <v>419</v>
      </c>
      <c r="J37" s="211">
        <f t="shared" si="6"/>
        <v>83</v>
      </c>
      <c r="K37" s="211">
        <f t="shared" si="6"/>
        <v>40491.688999999998</v>
      </c>
      <c r="AE37" s="260"/>
      <c r="AF37" s="261"/>
    </row>
    <row r="38" spans="1:32" ht="5.25" customHeight="1">
      <c r="A38" s="113"/>
      <c r="B38" s="1"/>
      <c r="C38" s="3"/>
      <c r="D38" s="3"/>
      <c r="E38" s="3"/>
      <c r="F38" s="211"/>
      <c r="G38" s="211"/>
      <c r="H38" s="211"/>
      <c r="I38" s="211"/>
      <c r="J38" s="211"/>
      <c r="K38" s="211"/>
      <c r="AE38" s="260"/>
      <c r="AF38" s="261"/>
    </row>
    <row r="39" spans="1:32">
      <c r="A39" s="113">
        <v>17</v>
      </c>
      <c r="B39" s="1" t="s">
        <v>48</v>
      </c>
      <c r="C39" s="3"/>
      <c r="D39" s="3"/>
      <c r="E39" s="3"/>
      <c r="F39" s="68">
        <f>'PROP0SED RATES-12.2022'!J39</f>
        <v>6744.0069999999996</v>
      </c>
      <c r="G39" s="211">
        <f>H39-F39</f>
        <v>202.17900000000009</v>
      </c>
      <c r="H39" s="211">
        <f>'ADJ DETAIL INPUT'!BF38</f>
        <v>6946.1859999999997</v>
      </c>
      <c r="I39" s="211">
        <f>CF!J15</f>
        <v>36</v>
      </c>
      <c r="J39" s="211">
        <f>CF!K15</f>
        <v>7</v>
      </c>
      <c r="K39" s="68">
        <f t="shared" ref="K39:K41" si="7">H39+I39+J39</f>
        <v>6989.1859999999997</v>
      </c>
      <c r="AE39" s="260"/>
      <c r="AF39" s="261"/>
    </row>
    <row r="40" spans="1:32">
      <c r="A40" s="113">
        <v>18</v>
      </c>
      <c r="B40" s="1" t="s">
        <v>49</v>
      </c>
      <c r="C40" s="3"/>
      <c r="D40" s="3"/>
      <c r="E40" s="3"/>
      <c r="F40" s="68">
        <f>'PROP0SED RATES-12.2022'!J40</f>
        <v>890.43200000000002</v>
      </c>
      <c r="G40" s="211">
        <f>H40-F40</f>
        <v>52.635999999999967</v>
      </c>
      <c r="H40" s="211">
        <f>'ADJ DETAIL INPUT'!BF39</f>
        <v>943.06799999999998</v>
      </c>
      <c r="I40" s="211"/>
      <c r="J40" s="211"/>
      <c r="K40" s="68">
        <f t="shared" si="7"/>
        <v>943.06799999999998</v>
      </c>
      <c r="AE40" s="260"/>
      <c r="AF40" s="261"/>
    </row>
    <row r="41" spans="1:32">
      <c r="A41" s="113">
        <v>19</v>
      </c>
      <c r="B41" s="1" t="s">
        <v>50</v>
      </c>
      <c r="C41" s="3"/>
      <c r="D41" s="3"/>
      <c r="E41" s="3"/>
      <c r="F41" s="68">
        <f>'PROP0SED RATES-12.2022'!J41</f>
        <v>0</v>
      </c>
      <c r="G41" s="211">
        <f>H41-F41</f>
        <v>0</v>
      </c>
      <c r="H41" s="211">
        <f>'ADJ DETAIL INPUT'!BF40</f>
        <v>0</v>
      </c>
      <c r="I41" s="211"/>
      <c r="J41" s="211"/>
      <c r="K41" s="68">
        <f t="shared" si="7"/>
        <v>0</v>
      </c>
      <c r="AE41" s="260"/>
      <c r="AF41" s="261"/>
    </row>
    <row r="42" spans="1:32" ht="4.5" customHeight="1">
      <c r="A42" s="113"/>
      <c r="B42" s="1"/>
      <c r="C42" s="3"/>
      <c r="D42" s="3"/>
      <c r="E42" s="3"/>
      <c r="F42" s="211"/>
      <c r="G42" s="211"/>
      <c r="H42" s="215"/>
      <c r="I42" s="215"/>
      <c r="J42" s="211"/>
      <c r="K42" s="211"/>
      <c r="AE42" s="260"/>
      <c r="AF42" s="261"/>
    </row>
    <row r="43" spans="1:32">
      <c r="A43" s="113"/>
      <c r="B43" s="1" t="s">
        <v>51</v>
      </c>
      <c r="C43" s="3"/>
      <c r="D43" s="3"/>
      <c r="E43" s="3"/>
      <c r="F43" s="211"/>
      <c r="G43" s="211"/>
      <c r="H43" s="211"/>
      <c r="I43" s="211"/>
      <c r="J43" s="211"/>
      <c r="K43" s="211"/>
      <c r="AE43" s="260"/>
      <c r="AF43" s="261"/>
    </row>
    <row r="44" spans="1:32">
      <c r="A44" s="113">
        <v>20</v>
      </c>
      <c r="B44" s="1"/>
      <c r="C44" s="3" t="s">
        <v>43</v>
      </c>
      <c r="D44" s="3"/>
      <c r="E44" s="3"/>
      <c r="F44" s="68">
        <f>'PROP0SED RATES-12.2022'!J44</f>
        <v>22857.763999999999</v>
      </c>
      <c r="G44" s="211">
        <f>H44-F44</f>
        <v>567.89500000000044</v>
      </c>
      <c r="H44" s="211">
        <f>'ADJ DETAIL INPUT'!BF43</f>
        <v>23425.659</v>
      </c>
      <c r="I44" s="211">
        <f>CF!J17</f>
        <v>22</v>
      </c>
      <c r="J44" s="211">
        <f>CF!K17</f>
        <v>4</v>
      </c>
      <c r="K44" s="68">
        <f t="shared" ref="K44:K46" si="8">H44+I44+J44</f>
        <v>23451.659</v>
      </c>
      <c r="AE44" s="260"/>
      <c r="AF44" s="261"/>
    </row>
    <row r="45" spans="1:32">
      <c r="A45" s="113">
        <v>21</v>
      </c>
      <c r="B45" s="1"/>
      <c r="C45" s="3" t="s">
        <v>192</v>
      </c>
      <c r="D45" s="3"/>
      <c r="E45" s="3"/>
      <c r="F45" s="68">
        <f>'PROP0SED RATES-12.2022'!J45</f>
        <v>11676</v>
      </c>
      <c r="G45" s="211">
        <f>H45-F45</f>
        <v>-909</v>
      </c>
      <c r="H45" s="211">
        <f>'ADJ DETAIL INPUT'!BF44</f>
        <v>10767</v>
      </c>
      <c r="I45" s="211"/>
      <c r="J45" s="211"/>
      <c r="K45" s="68">
        <f t="shared" si="8"/>
        <v>10767</v>
      </c>
      <c r="AE45" s="260"/>
      <c r="AF45" s="261"/>
    </row>
    <row r="46" spans="1:32">
      <c r="A46" s="113">
        <v>22</v>
      </c>
      <c r="B46" s="1"/>
      <c r="C46" s="7" t="s">
        <v>379</v>
      </c>
      <c r="D46" s="3"/>
      <c r="E46" s="3"/>
      <c r="F46" s="68">
        <f>'PROP0SED RATES-12.2022'!J46</f>
        <v>969</v>
      </c>
      <c r="G46" s="211">
        <f>H46-F46</f>
        <v>-195</v>
      </c>
      <c r="H46" s="211">
        <f>'ADJ DETAIL INPUT'!BF45</f>
        <v>774</v>
      </c>
      <c r="I46" s="211"/>
      <c r="J46" s="211"/>
      <c r="K46" s="68">
        <f t="shared" si="8"/>
        <v>774</v>
      </c>
      <c r="AE46" s="260"/>
      <c r="AF46" s="261"/>
    </row>
    <row r="47" spans="1:32">
      <c r="A47" s="113">
        <v>23</v>
      </c>
      <c r="B47" s="1"/>
      <c r="C47" s="3" t="s">
        <v>21</v>
      </c>
      <c r="D47" s="3"/>
      <c r="E47" s="3"/>
      <c r="F47" s="687">
        <f>'PROP0SED RATES-12.2022'!J47</f>
        <v>929</v>
      </c>
      <c r="G47" s="213">
        <f>H47-F47</f>
        <v>0</v>
      </c>
      <c r="H47" s="211">
        <f>'ADJ DETAIL INPUT'!BF46</f>
        <v>929</v>
      </c>
      <c r="I47" s="211"/>
      <c r="J47" s="213"/>
      <c r="K47" s="687">
        <f>H47+I47+J47</f>
        <v>929</v>
      </c>
      <c r="AE47" s="260"/>
      <c r="AF47" s="261"/>
    </row>
    <row r="48" spans="1:32">
      <c r="A48" s="113">
        <v>24</v>
      </c>
      <c r="B48" s="1"/>
      <c r="C48" s="3"/>
      <c r="D48" s="3" t="s">
        <v>52</v>
      </c>
      <c r="E48" s="330"/>
      <c r="F48" s="216">
        <f>SUM(F44:F47)</f>
        <v>36431.763999999996</v>
      </c>
      <c r="G48" s="216">
        <f t="shared" ref="G48:K48" si="9">SUM(G44:G47)</f>
        <v>-536.10499999999956</v>
      </c>
      <c r="H48" s="216">
        <f t="shared" si="9"/>
        <v>35895.659</v>
      </c>
      <c r="I48" s="216">
        <f t="shared" ref="I48" si="10">SUM(I44:I47)</f>
        <v>22</v>
      </c>
      <c r="J48" s="216">
        <f t="shared" si="9"/>
        <v>4</v>
      </c>
      <c r="K48" s="216">
        <f t="shared" si="9"/>
        <v>35921.659</v>
      </c>
      <c r="AE48" s="260"/>
      <c r="AF48" s="261"/>
    </row>
    <row r="49" spans="1:32">
      <c r="A49" s="113">
        <v>25</v>
      </c>
      <c r="B49" s="1" t="s">
        <v>53</v>
      </c>
      <c r="C49" s="3"/>
      <c r="D49" s="3"/>
      <c r="E49" s="3"/>
      <c r="F49" s="213">
        <f t="shared" ref="F49:K49" si="11">F48+F37+F31+F25+F39+F40+F41</f>
        <v>86325.383000000002</v>
      </c>
      <c r="G49" s="213">
        <f t="shared" si="11"/>
        <v>1484.8670000000002</v>
      </c>
      <c r="H49" s="213">
        <f t="shared" si="11"/>
        <v>87810.25</v>
      </c>
      <c r="I49" s="213">
        <f t="shared" ref="I49" si="12">I48+I37+I31+I25+I39+I40+I41</f>
        <v>477</v>
      </c>
      <c r="J49" s="213">
        <f t="shared" si="11"/>
        <v>94</v>
      </c>
      <c r="K49" s="213">
        <f t="shared" si="11"/>
        <v>88381.25</v>
      </c>
      <c r="AE49" s="260"/>
      <c r="AF49" s="261"/>
    </row>
    <row r="50" spans="1:32" ht="8.25" customHeight="1">
      <c r="A50" s="113"/>
      <c r="B50" s="1"/>
      <c r="C50" s="3"/>
      <c r="D50" s="3"/>
      <c r="E50" s="3"/>
      <c r="F50" s="211"/>
      <c r="G50" s="211"/>
      <c r="H50" s="211"/>
      <c r="I50" s="211"/>
      <c r="J50" s="211"/>
      <c r="K50" s="211"/>
      <c r="AE50" s="260"/>
      <c r="AF50" s="261"/>
    </row>
    <row r="51" spans="1:32">
      <c r="A51" s="113">
        <v>26</v>
      </c>
      <c r="B51" s="1" t="s">
        <v>54</v>
      </c>
      <c r="C51" s="3"/>
      <c r="D51" s="3"/>
      <c r="E51" s="3"/>
      <c r="F51" s="211">
        <f t="shared" ref="F51:K51" si="13">F18-F49</f>
        <v>32404.616999999998</v>
      </c>
      <c r="G51" s="211">
        <f t="shared" si="13"/>
        <v>-127.86700000000019</v>
      </c>
      <c r="H51" s="211">
        <f t="shared" si="13"/>
        <v>32276.75</v>
      </c>
      <c r="I51" s="211">
        <f t="shared" si="13"/>
        <v>10445</v>
      </c>
      <c r="J51" s="211">
        <f t="shared" si="13"/>
        <v>2077.5002150998789</v>
      </c>
      <c r="K51" s="211">
        <f t="shared" si="13"/>
        <v>44799.250215099892</v>
      </c>
      <c r="AE51" s="260"/>
      <c r="AF51" s="261"/>
    </row>
    <row r="52" spans="1:32" ht="6.75" customHeight="1">
      <c r="A52" s="113"/>
      <c r="B52" s="1"/>
      <c r="C52" s="3"/>
      <c r="D52" s="3"/>
      <c r="E52" s="3"/>
      <c r="F52" s="211"/>
      <c r="G52" s="211"/>
      <c r="H52" s="211"/>
      <c r="I52" s="211"/>
      <c r="J52" s="211"/>
      <c r="K52" s="211"/>
      <c r="AE52" s="260"/>
      <c r="AF52" s="261"/>
    </row>
    <row r="53" spans="1:32">
      <c r="A53" s="113"/>
      <c r="B53" s="1" t="s">
        <v>55</v>
      </c>
      <c r="C53" s="3"/>
      <c r="D53" s="3"/>
      <c r="E53" s="3"/>
      <c r="F53" s="211"/>
      <c r="G53" s="211"/>
      <c r="H53" s="211"/>
      <c r="I53" s="211"/>
      <c r="J53" s="211"/>
      <c r="K53" s="211"/>
      <c r="AE53" s="260"/>
      <c r="AF53" s="261"/>
    </row>
    <row r="54" spans="1:32">
      <c r="A54" s="113">
        <v>27</v>
      </c>
      <c r="B54" s="1"/>
      <c r="C54" s="3" t="s">
        <v>56</v>
      </c>
      <c r="D54" s="3"/>
      <c r="E54" s="3"/>
      <c r="F54" s="68">
        <f>'PROP0SED RATES-12.2022'!J54</f>
        <v>-3211.3404300000007</v>
      </c>
      <c r="G54" s="211">
        <f>H54-F54</f>
        <v>-26.852069999999912</v>
      </c>
      <c r="H54" s="211">
        <f>'ADJ DETAIL INPUT'!BF53</f>
        <v>-3238.1925000000006</v>
      </c>
      <c r="I54" s="211">
        <f>CF!J25</f>
        <v>2193</v>
      </c>
      <c r="J54" s="211">
        <f>CF!K25</f>
        <v>436</v>
      </c>
      <c r="K54" s="68">
        <f t="shared" ref="K54:K56" si="14">H54+I54+J54</f>
        <v>-609.19250000000056</v>
      </c>
      <c r="Q54" s="77"/>
      <c r="AE54" s="260"/>
      <c r="AF54" s="261"/>
    </row>
    <row r="55" spans="1:32">
      <c r="A55" s="113">
        <v>28</v>
      </c>
      <c r="B55" s="1"/>
      <c r="C55" s="154" t="s">
        <v>173</v>
      </c>
      <c r="D55" s="3"/>
      <c r="E55" s="3"/>
      <c r="F55" s="68">
        <f>'PROP0SED RATES-12.2022'!J55</f>
        <v>-334.86944400000004</v>
      </c>
      <c r="G55" s="211">
        <f>H55-F55</f>
        <v>-98.771399999999971</v>
      </c>
      <c r="H55" s="211">
        <f>'ADJ DETAIL INPUT'!BF54</f>
        <v>-433.64084400000002</v>
      </c>
      <c r="I55" s="211"/>
      <c r="J55" s="211"/>
      <c r="K55" s="68">
        <f t="shared" si="14"/>
        <v>-433.64084400000002</v>
      </c>
      <c r="AE55" s="260"/>
      <c r="AF55" s="261"/>
    </row>
    <row r="56" spans="1:32">
      <c r="A56" s="113">
        <v>29</v>
      </c>
      <c r="B56" s="1"/>
      <c r="C56" s="3" t="s">
        <v>57</v>
      </c>
      <c r="D56" s="3"/>
      <c r="E56" s="3"/>
      <c r="F56" s="68">
        <f>'PROP0SED RATES-12.2022'!J56</f>
        <v>6562</v>
      </c>
      <c r="G56" s="211">
        <f>H56-F56</f>
        <v>169</v>
      </c>
      <c r="H56" s="211">
        <f>'ADJ DETAIL INPUT'!BF55</f>
        <v>6731</v>
      </c>
      <c r="I56" s="211"/>
      <c r="J56" s="211"/>
      <c r="K56" s="68">
        <f t="shared" si="14"/>
        <v>6731</v>
      </c>
      <c r="AE56" s="260"/>
      <c r="AF56" s="261"/>
    </row>
    <row r="57" spans="1:32">
      <c r="A57" s="113">
        <v>30</v>
      </c>
      <c r="B57" s="1"/>
      <c r="C57" s="3" t="s">
        <v>58</v>
      </c>
      <c r="D57" s="3"/>
      <c r="E57" s="3"/>
      <c r="F57" s="687">
        <f>'PROP0SED RATES-12.2022'!J57</f>
        <v>-2</v>
      </c>
      <c r="G57" s="213">
        <f>H57-F57</f>
        <v>0</v>
      </c>
      <c r="H57" s="213">
        <f>'ADJ DETAIL INPUT'!BF56</f>
        <v>-2</v>
      </c>
      <c r="I57" s="213"/>
      <c r="J57" s="213"/>
      <c r="K57" s="687">
        <f>H57+I57+J57</f>
        <v>-2</v>
      </c>
      <c r="AE57" s="260"/>
      <c r="AF57" s="261"/>
    </row>
    <row r="58" spans="1:32" ht="6" customHeight="1">
      <c r="A58" s="113"/>
      <c r="B58" s="1"/>
      <c r="C58" s="1"/>
      <c r="D58" s="1"/>
      <c r="E58" s="1"/>
      <c r="F58" s="211"/>
      <c r="G58" s="211"/>
      <c r="H58" s="211"/>
      <c r="I58" s="211"/>
      <c r="J58" s="217"/>
      <c r="K58" s="211"/>
      <c r="AE58" s="260"/>
      <c r="AF58" s="261"/>
    </row>
    <row r="59" spans="1:32" ht="13.5" thickBot="1">
      <c r="A59" s="113">
        <v>31</v>
      </c>
      <c r="B59" s="2" t="s">
        <v>59</v>
      </c>
      <c r="C59" s="2"/>
      <c r="D59" s="2"/>
      <c r="E59" s="2"/>
      <c r="F59" s="218">
        <f t="shared" ref="F59:K59" si="15">F51-SUM(F54:F57)</f>
        <v>29390.826873999998</v>
      </c>
      <c r="G59" s="218">
        <f t="shared" si="15"/>
        <v>-171.24353000000031</v>
      </c>
      <c r="H59" s="218">
        <f t="shared" si="15"/>
        <v>29219.583343999999</v>
      </c>
      <c r="I59" s="218">
        <f t="shared" si="15"/>
        <v>8252</v>
      </c>
      <c r="J59" s="218">
        <f t="shared" si="15"/>
        <v>1641.5002150998789</v>
      </c>
      <c r="K59" s="218">
        <f t="shared" si="15"/>
        <v>39113.08355909989</v>
      </c>
      <c r="AE59" s="260"/>
      <c r="AF59" s="261"/>
    </row>
    <row r="60" spans="1:32" ht="7.5" customHeight="1" thickTop="1">
      <c r="A60" s="113"/>
      <c r="B60" s="1"/>
      <c r="C60" s="1"/>
      <c r="D60" s="1"/>
      <c r="E60" s="1"/>
      <c r="F60" s="211"/>
      <c r="G60" s="211"/>
      <c r="H60" s="211"/>
      <c r="I60" s="211"/>
      <c r="J60" s="211"/>
      <c r="K60" s="211"/>
      <c r="AE60" s="260"/>
      <c r="AF60" s="261"/>
    </row>
    <row r="61" spans="1:32" hidden="1">
      <c r="A61" s="113"/>
      <c r="B61" s="1"/>
      <c r="C61" s="1"/>
      <c r="D61" s="1"/>
      <c r="E61" s="1"/>
      <c r="F61" s="211"/>
      <c r="G61" s="211"/>
      <c r="H61" s="211"/>
      <c r="I61" s="211"/>
      <c r="J61" s="211"/>
      <c r="K61" s="211"/>
      <c r="AE61" s="260"/>
      <c r="AF61" s="261"/>
    </row>
    <row r="62" spans="1:32">
      <c r="A62" s="113"/>
      <c r="B62" s="1" t="s">
        <v>60</v>
      </c>
      <c r="C62" s="1"/>
      <c r="D62" s="1"/>
      <c r="E62" s="1"/>
      <c r="F62" s="211"/>
      <c r="G62" s="211"/>
      <c r="H62" s="211"/>
      <c r="I62" s="211"/>
      <c r="J62" s="211"/>
      <c r="K62" s="211"/>
      <c r="AE62" s="260"/>
      <c r="AF62" s="261"/>
    </row>
    <row r="63" spans="1:32">
      <c r="A63" s="113">
        <v>32</v>
      </c>
      <c r="B63" s="3"/>
      <c r="C63" s="3" t="s">
        <v>42</v>
      </c>
      <c r="D63" s="3"/>
      <c r="E63" s="3"/>
      <c r="F63" s="68">
        <f>'PROP0SED RATES-12.2022'!J63</f>
        <v>35395</v>
      </c>
      <c r="G63" s="211">
        <f>H63-F63</f>
        <v>1419</v>
      </c>
      <c r="H63" s="211">
        <f>'ADJ DETAIL INPUT'!BF62</f>
        <v>36814</v>
      </c>
      <c r="I63" s="211"/>
      <c r="J63" s="211"/>
      <c r="K63" s="68">
        <f t="shared" ref="K63:K64" si="16">H63+I63+J63</f>
        <v>36814</v>
      </c>
      <c r="AE63" s="260"/>
      <c r="AF63" s="261"/>
    </row>
    <row r="64" spans="1:32">
      <c r="A64" s="113">
        <v>33</v>
      </c>
      <c r="B64" s="3"/>
      <c r="C64" s="3" t="s">
        <v>61</v>
      </c>
      <c r="D64" s="3"/>
      <c r="E64" s="3"/>
      <c r="F64" s="68">
        <f>'PROP0SED RATES-12.2022'!J64</f>
        <v>662437</v>
      </c>
      <c r="G64" s="211">
        <f>H64-F64</f>
        <v>35851</v>
      </c>
      <c r="H64" s="211">
        <f>'ADJ DETAIL INPUT'!BF63</f>
        <v>698288</v>
      </c>
      <c r="I64" s="211"/>
      <c r="J64" s="211"/>
      <c r="K64" s="68">
        <f t="shared" si="16"/>
        <v>698288</v>
      </c>
      <c r="AE64" s="260"/>
      <c r="AF64" s="261"/>
    </row>
    <row r="65" spans="1:32">
      <c r="A65" s="113">
        <v>34</v>
      </c>
      <c r="B65" s="3"/>
      <c r="C65" s="3" t="s">
        <v>62</v>
      </c>
      <c r="D65" s="3"/>
      <c r="E65" s="3"/>
      <c r="F65" s="687">
        <f>'PROP0SED RATES-12.2022'!J65</f>
        <v>163735</v>
      </c>
      <c r="G65" s="213">
        <f>H65-F65</f>
        <v>-1720</v>
      </c>
      <c r="H65" s="213">
        <f>'ADJ DETAIL INPUT'!BF64</f>
        <v>162015</v>
      </c>
      <c r="I65" s="213"/>
      <c r="J65" s="213"/>
      <c r="K65" s="687">
        <f>H65+I65+J65</f>
        <v>162015</v>
      </c>
      <c r="AE65" s="260"/>
      <c r="AF65" s="261"/>
    </row>
    <row r="66" spans="1:32">
      <c r="A66" s="113">
        <v>35</v>
      </c>
      <c r="B66" s="3"/>
      <c r="C66" s="3"/>
      <c r="D66" s="3"/>
      <c r="E66" s="3" t="s">
        <v>63</v>
      </c>
      <c r="F66" s="219">
        <f>SUM(F63:F65)</f>
        <v>861567</v>
      </c>
      <c r="G66" s="219">
        <f t="shared" ref="G66:K66" si="17">SUM(G63:G65)</f>
        <v>35550</v>
      </c>
      <c r="H66" s="219">
        <f t="shared" si="17"/>
        <v>897117</v>
      </c>
      <c r="I66" s="219">
        <f t="shared" ref="I66" si="18">SUM(I63:I65)</f>
        <v>0</v>
      </c>
      <c r="J66" s="219">
        <f t="shared" si="17"/>
        <v>0</v>
      </c>
      <c r="K66" s="219">
        <f t="shared" si="17"/>
        <v>897117</v>
      </c>
      <c r="AE66" s="260"/>
      <c r="AF66" s="261"/>
    </row>
    <row r="67" spans="1:32" ht="5.25" customHeight="1">
      <c r="A67" s="113"/>
      <c r="B67" s="3"/>
      <c r="C67" s="3"/>
      <c r="D67" s="3"/>
      <c r="E67" s="3"/>
      <c r="F67" s="219"/>
      <c r="G67" s="219"/>
      <c r="H67" s="219"/>
      <c r="I67" s="219"/>
      <c r="J67" s="219"/>
      <c r="K67" s="219"/>
      <c r="AE67" s="260"/>
      <c r="AF67" s="261"/>
    </row>
    <row r="68" spans="1:32">
      <c r="A68" s="113"/>
      <c r="B68" s="3" t="s">
        <v>384</v>
      </c>
      <c r="C68" s="3"/>
      <c r="D68" s="3"/>
      <c r="E68" s="3"/>
      <c r="F68" s="211"/>
      <c r="G68" s="211"/>
      <c r="H68" s="211"/>
      <c r="I68" s="211"/>
      <c r="J68" s="211"/>
      <c r="K68" s="211"/>
      <c r="AE68" s="260"/>
      <c r="AF68" s="261"/>
    </row>
    <row r="69" spans="1:32">
      <c r="A69" s="113">
        <v>36</v>
      </c>
      <c r="B69" s="3"/>
      <c r="C69" s="3" t="s">
        <v>42</v>
      </c>
      <c r="D69" s="3"/>
      <c r="E69" s="3"/>
      <c r="F69" s="68">
        <f>'PROP0SED RATES-12.2022'!J69</f>
        <v>-13464</v>
      </c>
      <c r="G69" s="211">
        <f>H69-F69</f>
        <v>-523</v>
      </c>
      <c r="H69" s="211">
        <f>'ADJ DETAIL INPUT'!BF68</f>
        <v>-13987</v>
      </c>
      <c r="I69" s="211"/>
      <c r="J69" s="211"/>
      <c r="K69" s="68">
        <f t="shared" ref="K69:K70" si="19">H69+I69+J69</f>
        <v>-13987</v>
      </c>
      <c r="AE69" s="260"/>
      <c r="AF69" s="261"/>
    </row>
    <row r="70" spans="1:32">
      <c r="A70" s="113">
        <v>37</v>
      </c>
      <c r="B70" s="3"/>
      <c r="C70" s="3" t="s">
        <v>61</v>
      </c>
      <c r="D70" s="3"/>
      <c r="E70" s="3"/>
      <c r="F70" s="68">
        <f>'PROP0SED RATES-12.2022'!J70</f>
        <v>-188443</v>
      </c>
      <c r="G70" s="211">
        <f>H70-F70</f>
        <v>-14094</v>
      </c>
      <c r="H70" s="211">
        <f>'ADJ DETAIL INPUT'!BF69</f>
        <v>-202537</v>
      </c>
      <c r="I70" s="211"/>
      <c r="J70" s="211"/>
      <c r="K70" s="68">
        <f t="shared" si="19"/>
        <v>-202537</v>
      </c>
      <c r="AE70" s="260"/>
      <c r="AF70" s="261"/>
    </row>
    <row r="71" spans="1:32">
      <c r="A71" s="113">
        <v>38</v>
      </c>
      <c r="B71" s="3"/>
      <c r="C71" s="3" t="s">
        <v>62</v>
      </c>
      <c r="D71" s="3"/>
      <c r="E71" s="3"/>
      <c r="F71" s="687">
        <f>'PROP0SED RATES-12.2022'!J71</f>
        <v>-67861</v>
      </c>
      <c r="G71" s="213">
        <f>H71-F71</f>
        <v>-194</v>
      </c>
      <c r="H71" s="211">
        <f>'ADJ DETAIL INPUT'!BF70</f>
        <v>-68055</v>
      </c>
      <c r="I71" s="213"/>
      <c r="J71" s="213"/>
      <c r="K71" s="687">
        <f>H71+I71+J71</f>
        <v>-68055</v>
      </c>
      <c r="AE71" s="260"/>
      <c r="AF71" s="261"/>
    </row>
    <row r="72" spans="1:32">
      <c r="A72" s="113">
        <v>39</v>
      </c>
      <c r="B72" s="3" t="s">
        <v>385</v>
      </c>
      <c r="C72" s="3"/>
      <c r="D72" s="3"/>
      <c r="E72" s="330"/>
      <c r="F72" s="216">
        <f>SUM(F69:F71)</f>
        <v>-269768</v>
      </c>
      <c r="G72" s="216">
        <f t="shared" ref="G72:K72" si="20">SUM(G69:G71)</f>
        <v>-14811</v>
      </c>
      <c r="H72" s="216">
        <f t="shared" si="20"/>
        <v>-284579</v>
      </c>
      <c r="I72" s="216">
        <f t="shared" ref="I72" si="21">SUM(I69:I71)</f>
        <v>0</v>
      </c>
      <c r="J72" s="216">
        <f t="shared" si="20"/>
        <v>0</v>
      </c>
      <c r="K72" s="216">
        <f t="shared" si="20"/>
        <v>-284579</v>
      </c>
      <c r="AE72" s="260"/>
      <c r="AF72" s="261"/>
    </row>
    <row r="73" spans="1:32">
      <c r="A73" s="113">
        <v>40</v>
      </c>
      <c r="B73" s="154" t="s">
        <v>167</v>
      </c>
      <c r="C73" s="3"/>
      <c r="D73" s="3"/>
      <c r="E73" s="3"/>
      <c r="F73" s="219">
        <f>F66+F72</f>
        <v>591799</v>
      </c>
      <c r="G73" s="219">
        <f t="shared" ref="G73:K73" si="22">G66+G72</f>
        <v>20739</v>
      </c>
      <c r="H73" s="219">
        <f t="shared" si="22"/>
        <v>612538</v>
      </c>
      <c r="I73" s="219">
        <f t="shared" ref="I73" si="23">I66+I72</f>
        <v>0</v>
      </c>
      <c r="J73" s="219">
        <f t="shared" si="22"/>
        <v>0</v>
      </c>
      <c r="K73" s="219">
        <f t="shared" si="22"/>
        <v>612538</v>
      </c>
      <c r="AE73" s="260"/>
      <c r="AF73" s="261"/>
    </row>
    <row r="74" spans="1:32">
      <c r="A74" s="4">
        <v>41</v>
      </c>
      <c r="B74" s="5" t="s">
        <v>65</v>
      </c>
      <c r="C74" s="5"/>
      <c r="D74" s="5"/>
      <c r="E74" s="5"/>
      <c r="F74" s="687">
        <f>'PROP0SED RATES-12.2022'!J74</f>
        <v>-81651</v>
      </c>
      <c r="G74" s="213">
        <f>H74-F74</f>
        <v>1459</v>
      </c>
      <c r="H74" s="213">
        <f>'ADJ DETAIL INPUT'!BF73</f>
        <v>-80192</v>
      </c>
      <c r="I74" s="213"/>
      <c r="J74" s="213"/>
      <c r="K74" s="687">
        <f>H74+I74+J74</f>
        <v>-80192</v>
      </c>
      <c r="AE74" s="260"/>
      <c r="AF74" s="261"/>
    </row>
    <row r="75" spans="1:32">
      <c r="A75" s="4">
        <v>42</v>
      </c>
      <c r="B75" s="5"/>
      <c r="C75" s="156" t="s">
        <v>195</v>
      </c>
      <c r="D75" s="5"/>
      <c r="E75" s="5"/>
      <c r="F75" s="211">
        <f>F73+F74</f>
        <v>510148</v>
      </c>
      <c r="G75" s="211">
        <f t="shared" ref="G75" si="24">G73+G74</f>
        <v>22198</v>
      </c>
      <c r="H75" s="211">
        <f>H73+H74</f>
        <v>532346</v>
      </c>
      <c r="I75" s="211">
        <f t="shared" ref="I75" si="25">I73+I74</f>
        <v>0</v>
      </c>
      <c r="J75" s="211">
        <f t="shared" ref="J75:K75" si="26">J73+J74</f>
        <v>0</v>
      </c>
      <c r="K75" s="211">
        <f t="shared" si="26"/>
        <v>532346</v>
      </c>
      <c r="AE75" s="260"/>
      <c r="AF75" s="261"/>
    </row>
    <row r="76" spans="1:32" ht="12" customHeight="1">
      <c r="A76" s="113">
        <v>43</v>
      </c>
      <c r="B76" s="252" t="s">
        <v>66</v>
      </c>
      <c r="C76" s="252"/>
      <c r="D76" s="252"/>
      <c r="E76" s="252"/>
      <c r="F76" s="68">
        <f>'PROP0SED RATES-12.2022'!J76</f>
        <v>11642</v>
      </c>
      <c r="G76" s="253">
        <f>H76-F76</f>
        <v>0</v>
      </c>
      <c r="H76" s="211">
        <f>'ADJ DETAIL INPUT'!BF75</f>
        <v>11642</v>
      </c>
      <c r="I76" s="253"/>
      <c r="J76" s="253"/>
      <c r="K76" s="68">
        <f t="shared" ref="K76:K78" si="27">H76+I76+J76</f>
        <v>11642</v>
      </c>
      <c r="AE76" s="260"/>
      <c r="AF76" s="261"/>
    </row>
    <row r="77" spans="1:32">
      <c r="A77" s="113">
        <v>44</v>
      </c>
      <c r="B77" s="252" t="s">
        <v>67</v>
      </c>
      <c r="C77" s="252"/>
      <c r="D77" s="252"/>
      <c r="E77" s="252"/>
      <c r="F77" s="68">
        <f>'PROP0SED RATES-12.2022'!J77</f>
        <v>0</v>
      </c>
      <c r="G77" s="253">
        <f>H77-F77</f>
        <v>0</v>
      </c>
      <c r="H77" s="211">
        <f>'ADJ DETAIL INPUT'!BF76</f>
        <v>0</v>
      </c>
      <c r="I77" s="253"/>
      <c r="J77" s="253"/>
      <c r="K77" s="68">
        <f t="shared" si="27"/>
        <v>0</v>
      </c>
      <c r="AE77" s="260"/>
      <c r="AF77" s="261"/>
    </row>
    <row r="78" spans="1:32">
      <c r="A78" s="113">
        <v>45</v>
      </c>
      <c r="B78" s="252" t="s">
        <v>386</v>
      </c>
      <c r="C78" s="252"/>
      <c r="D78" s="252"/>
      <c r="E78" s="252"/>
      <c r="F78" s="68">
        <f>'PROP0SED RATES-12.2022'!J78</f>
        <v>-9337</v>
      </c>
      <c r="G78" s="253">
        <f>H78-F78</f>
        <v>-2098</v>
      </c>
      <c r="H78" s="211">
        <f>'ADJ DETAIL INPUT'!BF77</f>
        <v>-11435</v>
      </c>
      <c r="I78" s="253"/>
      <c r="J78" s="253"/>
      <c r="K78" s="68">
        <f t="shared" si="27"/>
        <v>-11435</v>
      </c>
      <c r="AE78" s="260"/>
      <c r="AF78" s="261"/>
    </row>
    <row r="79" spans="1:32">
      <c r="A79" s="113">
        <v>46</v>
      </c>
      <c r="B79" s="252" t="s">
        <v>169</v>
      </c>
      <c r="C79" s="252"/>
      <c r="D79" s="252"/>
      <c r="E79" s="252"/>
      <c r="F79" s="687">
        <f>'PROP0SED RATES-12.2022'!J79</f>
        <v>2489</v>
      </c>
      <c r="G79" s="214">
        <f>H79-F79</f>
        <v>0</v>
      </c>
      <c r="H79" s="213">
        <f>'ADJ DETAIL INPUT'!BF78</f>
        <v>2489</v>
      </c>
      <c r="I79" s="214"/>
      <c r="J79" s="214"/>
      <c r="K79" s="687">
        <f>H79+I79+J79</f>
        <v>2489</v>
      </c>
      <c r="AE79" s="260"/>
      <c r="AF79" s="261"/>
    </row>
    <row r="80" spans="1:32" ht="3" customHeight="1">
      <c r="A80" s="113"/>
      <c r="B80" s="1"/>
      <c r="C80" s="1"/>
      <c r="D80" s="1"/>
      <c r="E80" s="1"/>
      <c r="F80" s="39"/>
      <c r="G80" s="39"/>
      <c r="H80" s="68"/>
      <c r="I80" s="39"/>
      <c r="J80" s="39"/>
      <c r="K80" s="39"/>
      <c r="AE80" s="260"/>
      <c r="AF80" s="261"/>
    </row>
    <row r="81" spans="1:36" ht="13.5" thickBot="1">
      <c r="A81" s="113">
        <v>47</v>
      </c>
      <c r="B81" s="2" t="s">
        <v>68</v>
      </c>
      <c r="C81" s="2"/>
      <c r="D81" s="2"/>
      <c r="E81" s="2"/>
      <c r="F81" s="67">
        <f>F79+F77+F76+F75+F78</f>
        <v>514942</v>
      </c>
      <c r="G81" s="67">
        <f>G79+G77+G76+G75+G78</f>
        <v>20100</v>
      </c>
      <c r="H81" s="67">
        <f>H79+H77+H76+H75+H78</f>
        <v>535042</v>
      </c>
      <c r="I81" s="67">
        <f>I79+I77+I76+I75</f>
        <v>0</v>
      </c>
      <c r="J81" s="67">
        <f>J79+J77+J76+J75</f>
        <v>0</v>
      </c>
      <c r="K81" s="67">
        <f>K79+K77+K76+K75+K78</f>
        <v>535042</v>
      </c>
      <c r="AE81" s="260"/>
      <c r="AF81" s="261"/>
    </row>
    <row r="82" spans="1:36" ht="13.5" thickTop="1">
      <c r="A82" s="113">
        <v>48</v>
      </c>
      <c r="B82" s="1" t="s">
        <v>424</v>
      </c>
      <c r="C82" s="1"/>
      <c r="D82" s="1"/>
      <c r="E82" s="1"/>
      <c r="F82" s="284">
        <f>ROUND(F59/F81,4)</f>
        <v>5.7099999999999998E-2</v>
      </c>
      <c r="G82" s="64"/>
      <c r="H82" s="284">
        <f>ROUND(H59/H81,4)</f>
        <v>5.4600000000000003E-2</v>
      </c>
      <c r="I82" s="284"/>
      <c r="J82" s="6"/>
      <c r="K82" s="284">
        <f>ROUND(K59/K81,4)</f>
        <v>7.3099999999999998E-2</v>
      </c>
      <c r="AE82" s="260"/>
      <c r="AF82" s="261"/>
    </row>
    <row r="83" spans="1:36" ht="7.5" customHeight="1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AE83" s="266"/>
      <c r="AF83" s="267"/>
    </row>
    <row r="84" spans="1:36" ht="13.5" thickBot="1">
      <c r="A84" s="65"/>
      <c r="B84" s="66"/>
      <c r="C84" s="66"/>
      <c r="D84" s="66"/>
      <c r="E84" s="41"/>
      <c r="F84" s="41"/>
      <c r="G84" s="41"/>
      <c r="H84" s="41"/>
      <c r="I84" s="41"/>
      <c r="J84" s="41"/>
      <c r="K84" s="41"/>
      <c r="AE84" s="262"/>
      <c r="AF84" s="263"/>
      <c r="AJ84" s="330">
        <f>AJ90</f>
        <v>0</v>
      </c>
    </row>
    <row r="1048576" spans="8:8">
      <c r="H1048576" s="112">
        <f>SUM(H83:H1048575)</f>
        <v>0</v>
      </c>
    </row>
  </sheetData>
  <mergeCells count="1">
    <mergeCell ref="F6:K6"/>
  </mergeCells>
  <pageMargins left="0.75" right="0.5" top="0.97" bottom="0.84" header="0.5" footer="0.5"/>
  <pageSetup scale="69" orientation="portrait" r:id="rId1"/>
  <headerFooter scaleWithDoc="0" alignWithMargins="0">
    <oddHeader>&amp;RExh. EMA-3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pageSetUpPr fitToPage="1"/>
  </sheetPr>
  <dimension ref="A1:Y46"/>
  <sheetViews>
    <sheetView workbookViewId="0">
      <selection activeCell="E39" sqref="E39"/>
    </sheetView>
  </sheetViews>
  <sheetFormatPr defaultColWidth="9.140625" defaultRowHeight="15.75"/>
  <cols>
    <col min="1" max="1" width="7.42578125" style="371" customWidth="1"/>
    <col min="2" max="2" width="1.42578125" style="371" customWidth="1"/>
    <col min="3" max="3" width="49.42578125" style="371" customWidth="1"/>
    <col min="4" max="4" width="1.140625" style="371" customWidth="1"/>
    <col min="5" max="5" width="0.5703125" style="371" customWidth="1"/>
    <col min="6" max="6" width="22.42578125" style="371" customWidth="1"/>
    <col min="7" max="7" width="17.5703125" style="106" customWidth="1"/>
    <col min="8" max="8" width="15.5703125" style="106" customWidth="1"/>
    <col min="9" max="9" width="14.5703125" style="106" customWidth="1"/>
    <col min="10" max="10" width="4.85546875" style="371" customWidth="1"/>
    <col min="11" max="11" width="6.85546875" style="371" customWidth="1"/>
    <col min="12" max="12" width="14.140625" style="371" customWidth="1"/>
    <col min="13" max="13" width="12.85546875" style="371" customWidth="1"/>
    <col min="14" max="14" width="15.140625" style="424" customWidth="1"/>
    <col min="15" max="15" width="14.140625" style="371" customWidth="1"/>
    <col min="16" max="16" width="6.140625" style="371" customWidth="1"/>
    <col min="17" max="17" width="14.5703125" style="371" customWidth="1"/>
    <col min="18" max="16384" width="9.140625" style="372"/>
  </cols>
  <sheetData>
    <row r="1" spans="1:25">
      <c r="A1" s="1059" t="s">
        <v>112</v>
      </c>
      <c r="B1" s="1059"/>
      <c r="C1" s="1059"/>
      <c r="D1" s="1059"/>
      <c r="E1" s="1059"/>
      <c r="F1" s="1059"/>
      <c r="G1" s="655"/>
      <c r="H1" s="655"/>
      <c r="I1" s="655"/>
      <c r="J1" s="370"/>
      <c r="K1" s="1061" t="s">
        <v>112</v>
      </c>
      <c r="L1" s="1062"/>
      <c r="M1" s="1062"/>
      <c r="N1" s="1062"/>
      <c r="O1" s="1063"/>
      <c r="P1" s="373"/>
      <c r="Q1" s="370"/>
    </row>
    <row r="2" spans="1:25">
      <c r="A2" s="1059" t="s">
        <v>459</v>
      </c>
      <c r="B2" s="1059"/>
      <c r="C2" s="1059"/>
      <c r="D2" s="1059"/>
      <c r="E2" s="1059"/>
      <c r="F2" s="1059"/>
      <c r="G2" s="655"/>
      <c r="H2" s="655"/>
      <c r="I2" s="655"/>
      <c r="J2" s="370"/>
      <c r="K2" s="1064" t="s">
        <v>410</v>
      </c>
      <c r="L2" s="1065"/>
      <c r="M2" s="1065"/>
      <c r="N2" s="1065"/>
      <c r="O2" s="1066"/>
      <c r="P2" s="374"/>
      <c r="Q2" s="373"/>
    </row>
    <row r="3" spans="1:25">
      <c r="A3" s="1059" t="s">
        <v>409</v>
      </c>
      <c r="B3" s="1059"/>
      <c r="C3" s="1059"/>
      <c r="D3" s="1059"/>
      <c r="E3" s="1059"/>
      <c r="F3" s="1059"/>
      <c r="G3" s="376"/>
      <c r="H3" s="376"/>
      <c r="I3" s="376"/>
      <c r="J3" s="374"/>
      <c r="K3" s="1064" t="s">
        <v>409</v>
      </c>
      <c r="L3" s="1065"/>
      <c r="M3" s="1065"/>
      <c r="N3" s="1065"/>
      <c r="O3" s="1066"/>
      <c r="P3" s="374"/>
      <c r="Q3" s="370"/>
    </row>
    <row r="4" spans="1:25">
      <c r="A4" s="1058" t="str">
        <f>'PROP0SED RATES-12.2023'!A3</f>
        <v>TWELVE MONTHS ENDED SEPTEMBER 30, 2021</v>
      </c>
      <c r="B4" s="1058"/>
      <c r="C4" s="1058"/>
      <c r="D4" s="1058"/>
      <c r="E4" s="1058"/>
      <c r="F4" s="1058"/>
      <c r="G4" s="656"/>
      <c r="H4" s="656"/>
      <c r="I4" s="656"/>
      <c r="J4" s="375"/>
      <c r="K4" s="1051"/>
      <c r="L4" s="1052"/>
      <c r="M4" s="1052"/>
      <c r="N4" s="1052"/>
      <c r="O4" s="1053"/>
      <c r="P4" s="380"/>
      <c r="Q4" s="441"/>
    </row>
    <row r="5" spans="1:25" ht="16.5" thickBot="1">
      <c r="A5" s="373"/>
      <c r="B5" s="373"/>
      <c r="C5" s="373"/>
      <c r="D5" s="373"/>
      <c r="E5" s="373"/>
      <c r="F5" s="653" t="s">
        <v>456</v>
      </c>
      <c r="G5" s="657" t="s">
        <v>456</v>
      </c>
      <c r="H5" s="1060" t="s">
        <v>577</v>
      </c>
      <c r="I5" s="376"/>
      <c r="J5" s="376"/>
      <c r="K5" s="400"/>
      <c r="L5" s="107"/>
      <c r="M5" s="107"/>
      <c r="N5" s="107"/>
      <c r="O5" s="320"/>
      <c r="P5" s="380"/>
      <c r="Q5" s="106"/>
      <c r="R5" s="377"/>
      <c r="S5" s="377"/>
      <c r="T5" s="377"/>
      <c r="U5" s="377"/>
      <c r="V5" s="377"/>
      <c r="W5" s="377"/>
      <c r="X5" s="377"/>
      <c r="Y5" s="377"/>
    </row>
    <row r="6" spans="1:25">
      <c r="C6" s="378"/>
      <c r="D6" s="378"/>
      <c r="F6" s="653" t="s">
        <v>575</v>
      </c>
      <c r="G6" s="657" t="s">
        <v>576</v>
      </c>
      <c r="H6" s="1060"/>
      <c r="I6" s="376"/>
      <c r="J6" s="376"/>
      <c r="K6" s="352" t="s">
        <v>461</v>
      </c>
      <c r="L6" s="401"/>
      <c r="M6" s="401"/>
      <c r="N6" s="401"/>
      <c r="O6" s="402"/>
      <c r="P6" s="107"/>
      <c r="Q6" s="165"/>
    </row>
    <row r="7" spans="1:25" ht="15.75" customHeight="1">
      <c r="F7" s="1033" t="s">
        <v>651</v>
      </c>
      <c r="G7" s="658" t="s">
        <v>655</v>
      </c>
      <c r="H7" s="1033" t="s">
        <v>655</v>
      </c>
      <c r="I7" s="381"/>
      <c r="J7" s="399"/>
      <c r="K7" s="403"/>
      <c r="L7" s="404"/>
      <c r="M7" s="405"/>
      <c r="N7" s="406"/>
      <c r="O7" s="407"/>
      <c r="P7" s="107"/>
      <c r="Q7" s="166"/>
    </row>
    <row r="8" spans="1:25" ht="15.75" customHeight="1">
      <c r="A8" s="379" t="s">
        <v>129</v>
      </c>
      <c r="B8" s="374"/>
      <c r="C8" s="1054" t="s">
        <v>71</v>
      </c>
      <c r="D8" s="1055"/>
      <c r="E8" s="380"/>
      <c r="F8" s="653" t="s">
        <v>457</v>
      </c>
      <c r="G8" s="657" t="s">
        <v>457</v>
      </c>
      <c r="H8" s="653" t="s">
        <v>457</v>
      </c>
      <c r="I8" s="381"/>
      <c r="J8" s="381"/>
      <c r="K8" s="403"/>
      <c r="L8" s="408"/>
      <c r="M8" s="405" t="s">
        <v>130</v>
      </c>
      <c r="N8" s="405"/>
      <c r="O8" s="407" t="s">
        <v>131</v>
      </c>
      <c r="P8" s="107"/>
      <c r="Q8" s="166"/>
    </row>
    <row r="9" spans="1:25" ht="16.5" thickBot="1">
      <c r="A9" s="382" t="s">
        <v>16</v>
      </c>
      <c r="B9" s="374"/>
      <c r="C9" s="1056"/>
      <c r="D9" s="1057"/>
      <c r="E9" s="380"/>
      <c r="F9" s="654" t="s">
        <v>458</v>
      </c>
      <c r="G9" s="659" t="s">
        <v>458</v>
      </c>
      <c r="H9" s="654" t="s">
        <v>458</v>
      </c>
      <c r="I9" s="381"/>
      <c r="J9" s="381"/>
      <c r="K9" s="403"/>
      <c r="L9" s="409" t="s">
        <v>132</v>
      </c>
      <c r="M9" s="409" t="s">
        <v>133</v>
      </c>
      <c r="N9" s="409" t="s">
        <v>134</v>
      </c>
      <c r="O9" s="410" t="s">
        <v>134</v>
      </c>
      <c r="P9" s="411"/>
      <c r="Q9" s="166"/>
    </row>
    <row r="10" spans="1:25">
      <c r="E10" s="383"/>
      <c r="J10" s="106"/>
      <c r="K10" s="403"/>
      <c r="L10" s="404"/>
      <c r="M10" s="404"/>
      <c r="N10" s="406"/>
      <c r="O10" s="412"/>
      <c r="Q10" s="1049" t="s">
        <v>469</v>
      </c>
    </row>
    <row r="11" spans="1:25">
      <c r="A11" s="384">
        <v>1</v>
      </c>
      <c r="C11" s="371" t="s">
        <v>146</v>
      </c>
      <c r="F11" s="385">
        <f>'ADJ DETAIL INPUT'!AT81</f>
        <v>514942</v>
      </c>
      <c r="G11" s="385">
        <f>'ADJ DETAIL INPUT'!BF81</f>
        <v>535042</v>
      </c>
      <c r="H11" s="660"/>
      <c r="I11" s="660"/>
      <c r="J11" s="385"/>
      <c r="K11" s="403"/>
      <c r="L11" s="408" t="s">
        <v>13</v>
      </c>
      <c r="M11" s="413">
        <f>100%-M13</f>
        <v>0.51500000000000001</v>
      </c>
      <c r="N11" s="667">
        <v>4.5400000000000003E-2</v>
      </c>
      <c r="O11" s="414">
        <f>ROUND(M11*N11,4)</f>
        <v>2.3400000000000001E-2</v>
      </c>
      <c r="Q11" s="1050"/>
      <c r="S11" s="923"/>
    </row>
    <row r="12" spans="1:25" ht="16.5" thickBot="1">
      <c r="A12" s="384"/>
      <c r="F12" s="386"/>
      <c r="G12" s="386"/>
      <c r="H12" s="661"/>
      <c r="I12" s="661"/>
      <c r="J12" s="386"/>
      <c r="K12" s="403"/>
      <c r="L12" s="408"/>
      <c r="M12" s="413"/>
      <c r="N12" s="415"/>
      <c r="O12" s="414"/>
      <c r="Q12" s="451">
        <f>O11+O12</f>
        <v>2.3400000000000001E-2</v>
      </c>
    </row>
    <row r="13" spans="1:25">
      <c r="A13" s="384">
        <v>2</v>
      </c>
      <c r="C13" s="371" t="s">
        <v>135</v>
      </c>
      <c r="F13" s="919">
        <f>O15</f>
        <v>7.3099999999999998E-2</v>
      </c>
      <c r="G13" s="919">
        <f>F13</f>
        <v>7.3099999999999998E-2</v>
      </c>
      <c r="H13" s="164"/>
      <c r="I13" s="164"/>
      <c r="J13" s="387"/>
      <c r="K13" s="403"/>
      <c r="L13" s="408" t="s">
        <v>460</v>
      </c>
      <c r="M13" s="413">
        <v>0.48499999999999999</v>
      </c>
      <c r="N13" s="667">
        <v>0.10249999999999999</v>
      </c>
      <c r="O13" s="414">
        <f>ROUND(M13*N13,4)</f>
        <v>4.9700000000000001E-2</v>
      </c>
    </row>
    <row r="14" spans="1:25">
      <c r="A14" s="384"/>
      <c r="F14" s="388"/>
      <c r="G14" s="388"/>
      <c r="H14" s="662"/>
      <c r="I14" s="662"/>
      <c r="J14" s="388"/>
      <c r="K14" s="403"/>
      <c r="L14" s="408"/>
      <c r="M14" s="415"/>
      <c r="N14" s="416"/>
      <c r="O14" s="414"/>
      <c r="Q14" s="166"/>
    </row>
    <row r="15" spans="1:25" ht="16.5" thickBot="1">
      <c r="A15" s="384">
        <v>3</v>
      </c>
      <c r="C15" s="371" t="s">
        <v>136</v>
      </c>
      <c r="F15" s="386">
        <f>ROUND(F11*F13,0)</f>
        <v>37642</v>
      </c>
      <c r="G15" s="386">
        <f>ROUND(G11*G13,0)</f>
        <v>39112</v>
      </c>
      <c r="H15" s="661"/>
      <c r="I15" s="661"/>
      <c r="J15" s="386"/>
      <c r="K15" s="403"/>
      <c r="L15" s="408" t="s">
        <v>25</v>
      </c>
      <c r="M15" s="417">
        <f>SUM(M11:M13)</f>
        <v>1</v>
      </c>
      <c r="N15" s="416"/>
      <c r="O15" s="418">
        <f>SUM(O11:O13)</f>
        <v>7.3099999999999998E-2</v>
      </c>
      <c r="P15" s="165"/>
      <c r="Q15" s="166"/>
    </row>
    <row r="16" spans="1:25" ht="17.25" thickTop="1" thickBot="1">
      <c r="A16" s="384"/>
      <c r="F16" s="386"/>
      <c r="G16" s="386"/>
      <c r="H16" s="661"/>
      <c r="I16" s="661"/>
      <c r="J16" s="386"/>
      <c r="K16" s="419"/>
      <c r="L16" s="420"/>
      <c r="M16" s="421"/>
      <c r="N16" s="422"/>
      <c r="O16" s="423"/>
      <c r="P16" s="411"/>
      <c r="Q16" s="166"/>
    </row>
    <row r="17" spans="1:17">
      <c r="A17" s="384">
        <v>4</v>
      </c>
      <c r="C17" s="371" t="s">
        <v>137</v>
      </c>
      <c r="F17" s="389">
        <f>'ADJ DETAIL INPUT'!AT58</f>
        <v>29390.826873999998</v>
      </c>
      <c r="G17" s="389">
        <f>'ADJ DETAIL INPUT'!BF58</f>
        <v>29219.583343999999</v>
      </c>
      <c r="H17" s="397"/>
      <c r="I17" s="397"/>
      <c r="J17" s="390"/>
      <c r="K17" s="391"/>
      <c r="L17" s="106"/>
      <c r="M17" s="106"/>
      <c r="N17" s="489"/>
      <c r="O17" s="106"/>
      <c r="P17" s="411"/>
      <c r="Q17" s="372"/>
    </row>
    <row r="18" spans="1:17">
      <c r="A18" s="384"/>
      <c r="G18" s="371"/>
      <c r="L18" s="106"/>
      <c r="M18" s="490"/>
      <c r="N18" s="108"/>
      <c r="O18" s="491"/>
      <c r="P18" s="411"/>
    </row>
    <row r="19" spans="1:17">
      <c r="A19" s="384">
        <v>5</v>
      </c>
      <c r="C19" s="371" t="s">
        <v>138</v>
      </c>
      <c r="F19" s="386">
        <f>F15-F17</f>
        <v>8251.1731260000015</v>
      </c>
      <c r="G19" s="386">
        <f>G15-G17</f>
        <v>9892.4166560000012</v>
      </c>
      <c r="H19" s="386">
        <f>G19-F19</f>
        <v>1641.2435299999997</v>
      </c>
      <c r="I19" s="661"/>
      <c r="J19" s="386"/>
      <c r="L19" s="924" t="s">
        <v>640</v>
      </c>
      <c r="M19" s="925"/>
      <c r="N19" s="452"/>
      <c r="O19" s="453"/>
      <c r="P19" s="411"/>
      <c r="Q19" s="372"/>
    </row>
    <row r="20" spans="1:17">
      <c r="A20" s="384"/>
      <c r="G20" s="392"/>
      <c r="H20" s="371"/>
      <c r="M20" s="926" t="s">
        <v>638</v>
      </c>
      <c r="N20" s="926" t="s">
        <v>639</v>
      </c>
      <c r="O20" s="926" t="s">
        <v>641</v>
      </c>
      <c r="P20" s="165"/>
      <c r="Q20" s="372"/>
    </row>
    <row r="21" spans="1:17">
      <c r="A21" s="384">
        <v>6</v>
      </c>
      <c r="C21" s="371" t="s">
        <v>139</v>
      </c>
      <c r="F21" s="392">
        <f>CF!E27</f>
        <v>0.755463</v>
      </c>
      <c r="G21" s="392">
        <f>F21</f>
        <v>0.755463</v>
      </c>
      <c r="H21" s="671">
        <f>G21</f>
        <v>0.755463</v>
      </c>
      <c r="I21" s="663"/>
      <c r="J21" s="392"/>
      <c r="K21" s="165"/>
      <c r="L21" s="928" t="s">
        <v>642</v>
      </c>
      <c r="M21" s="927">
        <v>541.73460930448346</v>
      </c>
      <c r="N21" s="927">
        <v>21.11429456606129</v>
      </c>
      <c r="O21" s="386">
        <f>M21+N21</f>
        <v>562.84890387054475</v>
      </c>
      <c r="P21" s="165"/>
      <c r="Q21" s="372"/>
    </row>
    <row r="22" spans="1:17" ht="16.5" thickBot="1">
      <c r="A22" s="384"/>
      <c r="G22" s="392"/>
      <c r="H22" s="371"/>
      <c r="K22" s="165"/>
      <c r="L22" s="928" t="s">
        <v>643</v>
      </c>
      <c r="M22" s="929">
        <v>136</v>
      </c>
      <c r="N22" s="929">
        <v>5.294766255925424</v>
      </c>
      <c r="O22" s="930">
        <f>M22+N22</f>
        <v>141.29476625592542</v>
      </c>
      <c r="P22" s="165"/>
      <c r="Q22" s="372"/>
    </row>
    <row r="23" spans="1:17" ht="16.5" thickBot="1">
      <c r="A23" s="384">
        <v>7</v>
      </c>
      <c r="C23" s="371" t="s">
        <v>496</v>
      </c>
      <c r="E23" s="393"/>
      <c r="F23" s="575">
        <f>ROUND(F19/F21,0)</f>
        <v>10922</v>
      </c>
      <c r="G23" s="670">
        <f>ROUND(G19/G21,0)-1</f>
        <v>13094</v>
      </c>
      <c r="H23" s="672">
        <f>H19/H21-1</f>
        <v>2171.5002150998789</v>
      </c>
      <c r="I23" s="668"/>
      <c r="K23" s="108"/>
      <c r="L23" s="931" t="s">
        <v>644</v>
      </c>
      <c r="M23" s="932">
        <f>M22+M21</f>
        <v>677.73460930448346</v>
      </c>
      <c r="N23" s="932">
        <f>N22+N21</f>
        <v>26.409060821986714</v>
      </c>
      <c r="O23" s="932">
        <f>O22+O21</f>
        <v>704.14367012647017</v>
      </c>
      <c r="P23" s="165"/>
      <c r="Q23" s="372"/>
    </row>
    <row r="24" spans="1:17">
      <c r="E24" s="393"/>
      <c r="G24" s="392"/>
      <c r="H24" s="371"/>
      <c r="I24" s="664"/>
      <c r="K24" s="108"/>
      <c r="L24" s="108"/>
      <c r="M24" s="909"/>
      <c r="N24" s="108"/>
      <c r="O24" s="165"/>
      <c r="P24" s="492"/>
      <c r="Q24" s="372"/>
    </row>
    <row r="25" spans="1:17">
      <c r="A25" s="384">
        <v>8</v>
      </c>
      <c r="C25" s="371" t="s">
        <v>430</v>
      </c>
      <c r="F25" s="390">
        <f>'PROP0SED RATES-12.2022'!J15+'PROP0SED RATES-12.2022'!J16</f>
        <v>114859</v>
      </c>
      <c r="G25" s="397"/>
      <c r="H25" s="385">
        <f>F25+F23</f>
        <v>125781</v>
      </c>
      <c r="I25" s="665"/>
      <c r="J25" s="390"/>
      <c r="K25" s="109"/>
      <c r="L25" s="108"/>
      <c r="M25" s="383"/>
      <c r="N25" s="427"/>
      <c r="O25" s="383"/>
      <c r="P25" s="427"/>
      <c r="Q25" s="372"/>
    </row>
    <row r="26" spans="1:17">
      <c r="G26" s="108"/>
      <c r="H26" s="371"/>
      <c r="I26" s="664"/>
      <c r="K26" s="165"/>
      <c r="L26" s="108"/>
      <c r="M26" s="108"/>
      <c r="N26" s="427"/>
      <c r="O26" s="108"/>
      <c r="P26" s="427"/>
    </row>
    <row r="27" spans="1:17" ht="16.5" thickBot="1">
      <c r="A27" s="384">
        <v>9</v>
      </c>
      <c r="C27" s="371" t="s">
        <v>433</v>
      </c>
      <c r="F27" s="394">
        <f>ROUND(F23/F25,4)</f>
        <v>9.5100000000000004E-2</v>
      </c>
      <c r="G27" s="164"/>
      <c r="H27" s="394">
        <f>H23/H25</f>
        <v>1.7264135402802323E-2</v>
      </c>
      <c r="I27" s="669"/>
      <c r="J27" s="395"/>
      <c r="K27" s="428"/>
      <c r="L27" s="453"/>
      <c r="M27" s="453"/>
      <c r="N27" s="453"/>
      <c r="O27" s="453"/>
      <c r="P27" s="453"/>
    </row>
    <row r="28" spans="1:17" ht="9.75" customHeight="1" thickTop="1">
      <c r="C28" s="396"/>
      <c r="D28" s="396"/>
      <c r="E28" s="396"/>
      <c r="F28" s="396"/>
      <c r="G28" s="674"/>
      <c r="H28" s="673"/>
      <c r="I28" s="666"/>
      <c r="J28" s="396"/>
      <c r="K28" s="411"/>
      <c r="L28" s="411"/>
      <c r="M28" s="453"/>
      <c r="N28" s="429"/>
      <c r="O28" s="453"/>
      <c r="P28" s="429"/>
      <c r="Q28" s="372"/>
    </row>
    <row r="29" spans="1:17">
      <c r="A29" s="384">
        <v>10</v>
      </c>
      <c r="C29" s="371" t="s">
        <v>431</v>
      </c>
      <c r="F29" s="397">
        <v>187596</v>
      </c>
      <c r="G29" s="397"/>
      <c r="H29" s="385">
        <f>F29+F23</f>
        <v>198518</v>
      </c>
      <c r="I29" s="664"/>
      <c r="J29" s="397"/>
      <c r="K29" s="675" t="s">
        <v>637</v>
      </c>
      <c r="L29" s="165"/>
      <c r="M29" s="430"/>
      <c r="N29" s="453"/>
      <c r="O29" s="430"/>
      <c r="P29" s="453"/>
      <c r="Q29" s="377"/>
    </row>
    <row r="30" spans="1:17" ht="13.5" customHeight="1">
      <c r="G30" s="397"/>
      <c r="H30" s="673"/>
      <c r="I30" s="664"/>
      <c r="K30" s="411"/>
      <c r="L30" s="453"/>
      <c r="M30" s="411"/>
      <c r="N30" s="429"/>
      <c r="O30" s="411"/>
      <c r="P30" s="429"/>
    </row>
    <row r="31" spans="1:17" ht="15.75" customHeight="1" thickBot="1">
      <c r="A31" s="384">
        <v>11</v>
      </c>
      <c r="C31" s="371" t="s">
        <v>432</v>
      </c>
      <c r="F31" s="394">
        <f>ROUND(F23/F29,4)</f>
        <v>5.8200000000000002E-2</v>
      </c>
      <c r="G31" s="397"/>
      <c r="H31" s="394">
        <f>H23/H29</f>
        <v>1.0938555773783127E-2</v>
      </c>
      <c r="I31" s="669"/>
      <c r="J31" s="395"/>
      <c r="K31" s="411"/>
      <c r="L31" s="411"/>
      <c r="M31" s="431"/>
      <c r="N31" s="427"/>
      <c r="O31" s="431"/>
      <c r="P31" s="427"/>
      <c r="Q31" s="372"/>
    </row>
    <row r="32" spans="1:17" ht="15.75" customHeight="1" thickTop="1">
      <c r="F32" s="395"/>
      <c r="G32" s="397"/>
      <c r="H32" s="667"/>
      <c r="I32" s="667"/>
      <c r="J32" s="395"/>
      <c r="K32" s="411"/>
      <c r="L32" s="165"/>
      <c r="M32" s="383"/>
      <c r="N32" s="425"/>
      <c r="O32" s="383"/>
      <c r="P32" s="383"/>
      <c r="Q32" s="537"/>
    </row>
    <row r="33" spans="1:17">
      <c r="A33" s="398" t="s">
        <v>407</v>
      </c>
      <c r="G33" s="397"/>
      <c r="K33" s="411"/>
      <c r="L33" s="165"/>
      <c r="M33" s="164"/>
      <c r="N33" s="425"/>
      <c r="O33" s="164"/>
      <c r="P33" s="165"/>
      <c r="Q33" s="536"/>
    </row>
    <row r="34" spans="1:17">
      <c r="A34" s="106"/>
      <c r="B34" s="106"/>
      <c r="C34" s="106"/>
      <c r="D34" s="106"/>
      <c r="E34" s="106"/>
      <c r="F34" s="106"/>
      <c r="G34" s="397"/>
      <c r="J34" s="106"/>
      <c r="K34" s="165"/>
      <c r="L34" s="165"/>
      <c r="M34" s="165"/>
      <c r="N34" s="426"/>
      <c r="O34" s="165"/>
      <c r="P34" s="165"/>
      <c r="Q34" s="536"/>
    </row>
    <row r="35" spans="1:17">
      <c r="A35" s="106"/>
      <c r="B35" s="106"/>
      <c r="C35" s="106"/>
      <c r="D35" s="106"/>
      <c r="E35" s="106"/>
      <c r="F35" s="106"/>
      <c r="G35" s="397"/>
      <c r="J35" s="106"/>
      <c r="K35" s="165"/>
      <c r="L35" s="165"/>
      <c r="M35" s="165"/>
      <c r="N35" s="426"/>
      <c r="O35" s="165"/>
      <c r="P35" s="165"/>
      <c r="Q35" s="536"/>
    </row>
    <row r="36" spans="1:17">
      <c r="G36" s="397"/>
      <c r="K36" s="165"/>
      <c r="L36" s="165"/>
      <c r="M36" s="165"/>
      <c r="N36" s="426"/>
      <c r="O36" s="165"/>
      <c r="P36" s="165"/>
      <c r="Q36" s="536"/>
    </row>
    <row r="37" spans="1:17">
      <c r="G37" s="397"/>
      <c r="K37" s="165"/>
      <c r="L37" s="165"/>
      <c r="M37" s="165"/>
      <c r="N37" s="426"/>
      <c r="O37" s="165"/>
      <c r="P37" s="165"/>
      <c r="Q37" s="536"/>
    </row>
    <row r="38" spans="1:17">
      <c r="K38" s="165"/>
      <c r="L38" s="165"/>
      <c r="M38" s="165"/>
      <c r="N38" s="426"/>
      <c r="O38" s="165"/>
      <c r="P38" s="165"/>
      <c r="Q38" s="536"/>
    </row>
    <row r="39" spans="1:17">
      <c r="K39" s="165"/>
      <c r="L39" s="165"/>
      <c r="M39" s="165"/>
      <c r="N39" s="426"/>
      <c r="O39" s="165"/>
      <c r="P39" s="165"/>
    </row>
    <row r="40" spans="1:17">
      <c r="K40" s="165"/>
      <c r="L40" s="165"/>
      <c r="M40" s="165"/>
      <c r="N40" s="426"/>
      <c r="O40" s="165"/>
      <c r="P40" s="165"/>
      <c r="Q40" s="372"/>
    </row>
    <row r="41" spans="1:17">
      <c r="K41" s="165"/>
      <c r="L41" s="165"/>
      <c r="M41" s="165"/>
      <c r="N41" s="426"/>
      <c r="O41" s="165"/>
      <c r="P41" s="165"/>
    </row>
    <row r="42" spans="1:17">
      <c r="K42" s="165"/>
      <c r="L42" s="165"/>
      <c r="M42" s="165"/>
      <c r="N42" s="426"/>
      <c r="O42" s="165"/>
      <c r="P42" s="165"/>
    </row>
    <row r="43" spans="1:17">
      <c r="K43" s="165"/>
      <c r="L43" s="165"/>
      <c r="M43" s="165"/>
      <c r="N43" s="426"/>
      <c r="O43" s="165"/>
      <c r="P43" s="165"/>
    </row>
    <row r="44" spans="1:17">
      <c r="K44" s="165"/>
      <c r="L44" s="165"/>
      <c r="M44" s="165"/>
      <c r="N44" s="426"/>
      <c r="O44" s="165"/>
      <c r="P44" s="165"/>
    </row>
    <row r="45" spans="1:17">
      <c r="P45" s="165"/>
    </row>
    <row r="46" spans="1:17">
      <c r="P46" s="165"/>
    </row>
  </sheetData>
  <mergeCells count="11">
    <mergeCell ref="A1:F1"/>
    <mergeCell ref="A2:F2"/>
    <mergeCell ref="K1:O1"/>
    <mergeCell ref="K2:O2"/>
    <mergeCell ref="K3:O3"/>
    <mergeCell ref="Q10:Q11"/>
    <mergeCell ref="K4:O4"/>
    <mergeCell ref="C8:D9"/>
    <mergeCell ref="A4:F4"/>
    <mergeCell ref="A3:F3"/>
    <mergeCell ref="H5:H6"/>
  </mergeCells>
  <phoneticPr fontId="0" type="noConversion"/>
  <printOptions horizontalCentered="1"/>
  <pageMargins left="0.75" right="0.5" top="0.97" bottom="0.84" header="0.5" footer="0.5"/>
  <pageSetup scale="80" orientation="portrait" r:id="rId1"/>
  <headerFooter scaleWithDoc="0" alignWithMargins="0">
    <oddHeader>&amp;RExh. EMA-3</oddHeader>
    <oddFooter>&amp;RPage &amp;P of &amp;N</oddFooter>
  </headerFooter>
  <ignoredErrors>
    <ignoredError sqref="F7:G7 H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Y32"/>
  <sheetViews>
    <sheetView workbookViewId="0">
      <selection activeCell="E39" sqref="E39"/>
    </sheetView>
  </sheetViews>
  <sheetFormatPr defaultColWidth="9.140625" defaultRowHeight="12.75"/>
  <cols>
    <col min="1" max="1" width="9.140625" style="11"/>
    <col min="2" max="2" width="6.5703125" style="11" customWidth="1"/>
    <col min="3" max="3" width="42" style="11" customWidth="1"/>
    <col min="4" max="4" width="2.85546875" style="11" customWidth="1"/>
    <col min="5" max="5" width="20.140625" style="82" customWidth="1"/>
    <col min="6" max="6" width="2.5703125" style="11" customWidth="1"/>
    <col min="7" max="9" width="9.140625" style="11"/>
    <col min="10" max="10" width="19.85546875" style="11" bestFit="1" customWidth="1"/>
    <col min="11" max="11" width="15.5703125" style="11" customWidth="1"/>
    <col min="12" max="16384" width="9.140625" style="11"/>
  </cols>
  <sheetData>
    <row r="1" spans="1:25" s="72" customFormat="1">
      <c r="A1" s="11"/>
      <c r="B1" s="11"/>
      <c r="C1" s="69" t="s">
        <v>112</v>
      </c>
      <c r="D1" s="70"/>
      <c r="E1" s="71"/>
      <c r="G1" s="254"/>
      <c r="H1" s="255"/>
      <c r="I1" s="255"/>
      <c r="J1" s="11"/>
    </row>
    <row r="2" spans="1:25" s="72" customFormat="1">
      <c r="B2" s="11"/>
      <c r="C2" s="220" t="s">
        <v>155</v>
      </c>
      <c r="D2" s="70"/>
      <c r="E2" s="73"/>
      <c r="J2" s="11"/>
    </row>
    <row r="3" spans="1:25" s="72" customFormat="1">
      <c r="B3" s="11"/>
      <c r="C3" s="105" t="s">
        <v>409</v>
      </c>
      <c r="D3" s="70"/>
      <c r="E3" s="73"/>
      <c r="J3" s="11"/>
    </row>
    <row r="4" spans="1:25">
      <c r="B4" s="104"/>
      <c r="C4" s="220" t="str">
        <f>'PROP0SED RATES-12.2023'!A3</f>
        <v>TWELVE MONTHS ENDED SEPTEMBER 30, 2021</v>
      </c>
      <c r="D4" s="104"/>
      <c r="E4" s="104"/>
      <c r="F4" s="104"/>
      <c r="G4" s="104"/>
      <c r="H4" s="104"/>
      <c r="I4" s="104"/>
      <c r="L4" s="104"/>
      <c r="M4" s="104"/>
      <c r="N4" s="69"/>
      <c r="O4" s="69"/>
      <c r="P4" s="69"/>
    </row>
    <row r="5" spans="1:25">
      <c r="C5" s="16"/>
      <c r="D5" s="74"/>
      <c r="Q5" s="89"/>
      <c r="R5" s="89"/>
      <c r="S5" s="89"/>
      <c r="T5" s="89"/>
      <c r="U5" s="89"/>
      <c r="V5" s="89"/>
      <c r="W5" s="89"/>
      <c r="X5" s="89"/>
      <c r="Y5" s="89"/>
    </row>
    <row r="6" spans="1:25" hidden="1">
      <c r="A6" s="16"/>
      <c r="C6" s="75"/>
      <c r="D6" s="74"/>
      <c r="E6" s="70"/>
      <c r="J6" s="678"/>
      <c r="K6" s="678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idden="1">
      <c r="A7" s="16"/>
      <c r="C7" s="75"/>
      <c r="D7" s="74"/>
      <c r="E7" s="70"/>
    </row>
    <row r="8" spans="1:25">
      <c r="A8" s="16"/>
      <c r="C8" s="74"/>
      <c r="D8" s="74"/>
      <c r="E8" s="115"/>
      <c r="F8" s="116"/>
      <c r="G8" s="116"/>
      <c r="J8" s="676">
        <v>12.202199999999999</v>
      </c>
      <c r="K8" s="641">
        <v>12.202299999999999</v>
      </c>
    </row>
    <row r="9" spans="1:25">
      <c r="A9" s="16" t="s">
        <v>129</v>
      </c>
      <c r="C9" s="16"/>
      <c r="D9" s="74"/>
      <c r="E9" s="16"/>
      <c r="J9" s="677" t="s">
        <v>578</v>
      </c>
      <c r="K9" s="677" t="s">
        <v>578</v>
      </c>
      <c r="M9" s="22"/>
      <c r="N9" s="22"/>
      <c r="O9" s="22"/>
      <c r="P9" s="22"/>
    </row>
    <row r="10" spans="1:25">
      <c r="A10" s="18" t="s">
        <v>16</v>
      </c>
      <c r="C10" s="18" t="s">
        <v>71</v>
      </c>
      <c r="D10" s="74"/>
      <c r="E10" s="18" t="s">
        <v>147</v>
      </c>
      <c r="F10" s="82"/>
      <c r="J10" s="678" t="s">
        <v>144</v>
      </c>
      <c r="K10" s="678" t="s">
        <v>144</v>
      </c>
      <c r="M10" s="22"/>
      <c r="N10" s="22"/>
      <c r="O10" s="22"/>
      <c r="P10" s="22"/>
    </row>
    <row r="11" spans="1:25" ht="9" customHeight="1">
      <c r="A11" s="16"/>
      <c r="C11" s="74"/>
      <c r="D11" s="74"/>
      <c r="E11" s="74"/>
      <c r="M11" s="22"/>
      <c r="N11" s="22"/>
      <c r="O11" s="22"/>
      <c r="P11" s="22"/>
    </row>
    <row r="12" spans="1:25">
      <c r="A12" s="12">
        <v>1</v>
      </c>
      <c r="C12" s="432" t="s">
        <v>148</v>
      </c>
      <c r="D12" s="433"/>
      <c r="E12" s="433">
        <f>'CF WA Gas'!E5</f>
        <v>1</v>
      </c>
      <c r="J12" s="76">
        <f>'RR SUMMARY'!F23</f>
        <v>10922</v>
      </c>
      <c r="K12" s="76">
        <f>'RR SUMMARY'!H23</f>
        <v>2171.5002150998789</v>
      </c>
      <c r="M12" s="22"/>
      <c r="N12" s="256"/>
      <c r="O12" s="22"/>
      <c r="P12" s="22"/>
    </row>
    <row r="13" spans="1:25" ht="9" customHeight="1">
      <c r="A13" s="12"/>
      <c r="C13" s="432"/>
      <c r="D13" s="433"/>
      <c r="E13" s="433"/>
      <c r="K13" s="330"/>
      <c r="M13" s="22"/>
      <c r="N13" s="22"/>
      <c r="O13" s="22"/>
      <c r="P13" s="22"/>
    </row>
    <row r="14" spans="1:25">
      <c r="A14" s="12"/>
      <c r="C14" s="432" t="s">
        <v>149</v>
      </c>
      <c r="D14" s="433"/>
      <c r="E14" s="433"/>
      <c r="K14" s="330"/>
      <c r="M14" s="22"/>
      <c r="N14" s="22"/>
      <c r="O14" s="22"/>
      <c r="P14" s="22"/>
    </row>
    <row r="15" spans="1:25">
      <c r="A15" s="12">
        <v>2</v>
      </c>
      <c r="B15" s="14"/>
      <c r="C15" s="433" t="s">
        <v>150</v>
      </c>
      <c r="D15" s="433"/>
      <c r="E15" s="434">
        <f>'CF WA Gas'!E9</f>
        <v>3.3260488953551302E-3</v>
      </c>
      <c r="F15" s="318"/>
      <c r="J15" s="77">
        <f>ROUND($J$12*E15,0)</f>
        <v>36</v>
      </c>
      <c r="K15" s="77">
        <f>ROUND($K$12*E15,0)</f>
        <v>7</v>
      </c>
      <c r="M15" s="22"/>
      <c r="N15" s="79"/>
      <c r="O15" s="22"/>
      <c r="P15" s="22"/>
    </row>
    <row r="16" spans="1:25" ht="9" customHeight="1">
      <c r="A16" s="12"/>
      <c r="C16" s="433"/>
      <c r="D16" s="433"/>
      <c r="E16" s="434"/>
      <c r="K16" s="330"/>
      <c r="M16" s="22"/>
      <c r="N16" s="22"/>
      <c r="O16" s="22"/>
      <c r="P16" s="22"/>
    </row>
    <row r="17" spans="1:16">
      <c r="A17" s="12">
        <v>3</v>
      </c>
      <c r="C17" s="433" t="s">
        <v>151</v>
      </c>
      <c r="D17" s="433"/>
      <c r="E17" s="434">
        <f>'CF WA Gas'!E11</f>
        <v>2E-3</v>
      </c>
      <c r="J17" s="77">
        <f>ROUND($J$12*E17,0)</f>
        <v>22</v>
      </c>
      <c r="K17" s="77">
        <f>ROUND($K$12*E17,0)</f>
        <v>4</v>
      </c>
      <c r="M17" s="22"/>
      <c r="N17" s="79"/>
      <c r="O17" s="22"/>
      <c r="P17" s="22"/>
    </row>
    <row r="18" spans="1:16" ht="9" customHeight="1">
      <c r="A18" s="12"/>
      <c r="C18" s="433"/>
      <c r="D18" s="433"/>
      <c r="E18" s="434"/>
      <c r="K18" s="330"/>
      <c r="M18" s="22"/>
      <c r="N18" s="22"/>
      <c r="O18" s="22"/>
      <c r="P18" s="22"/>
    </row>
    <row r="19" spans="1:16">
      <c r="A19" s="12">
        <v>4</v>
      </c>
      <c r="C19" s="433" t="s">
        <v>152</v>
      </c>
      <c r="D19" s="433"/>
      <c r="E19" s="434">
        <f>'CF WA Gas'!E13</f>
        <v>3.8391880596550916E-2</v>
      </c>
      <c r="F19" s="318"/>
      <c r="J19" s="77">
        <f>ROUND($J$12*E19,0)</f>
        <v>419</v>
      </c>
      <c r="K19" s="77">
        <f>ROUND($K$12*E19,0)</f>
        <v>83</v>
      </c>
      <c r="M19" s="22"/>
      <c r="N19" s="79"/>
      <c r="O19" s="22"/>
      <c r="P19" s="22"/>
    </row>
    <row r="20" spans="1:16" ht="9" customHeight="1">
      <c r="A20" s="12"/>
      <c r="C20" s="433"/>
      <c r="D20" s="433"/>
      <c r="E20" s="435"/>
      <c r="K20" s="330"/>
      <c r="M20" s="22"/>
      <c r="N20" s="22"/>
      <c r="O20" s="22"/>
      <c r="P20" s="22"/>
    </row>
    <row r="21" spans="1:16">
      <c r="A21" s="12">
        <v>6</v>
      </c>
      <c r="C21" s="433" t="s">
        <v>153</v>
      </c>
      <c r="D21" s="433"/>
      <c r="E21" s="436">
        <f>SUM(E15:E19)</f>
        <v>4.3717929491906046E-2</v>
      </c>
      <c r="J21" s="78">
        <f>SUM(J15:J20)</f>
        <v>477</v>
      </c>
      <c r="K21" s="78">
        <f>SUM(K15:K20)</f>
        <v>94</v>
      </c>
      <c r="M21" s="22"/>
      <c r="N21" s="79"/>
      <c r="O21" s="22"/>
      <c r="P21" s="22"/>
    </row>
    <row r="22" spans="1:16" ht="9.75" customHeight="1">
      <c r="A22" s="12"/>
      <c r="C22" s="433"/>
      <c r="D22" s="433"/>
      <c r="E22" s="433"/>
      <c r="J22" s="79"/>
      <c r="K22" s="79"/>
      <c r="M22" s="22"/>
      <c r="N22" s="79"/>
      <c r="O22" s="22"/>
      <c r="P22" s="22"/>
    </row>
    <row r="23" spans="1:16">
      <c r="A23" s="12">
        <v>7</v>
      </c>
      <c r="C23" s="433" t="s">
        <v>154</v>
      </c>
      <c r="D23" s="433"/>
      <c r="E23" s="433">
        <f>E12-E21</f>
        <v>0.956282070508094</v>
      </c>
      <c r="J23" s="79">
        <f>J12-J21</f>
        <v>10445</v>
      </c>
      <c r="K23" s="79">
        <f>K12-K21</f>
        <v>2077.5002150998789</v>
      </c>
      <c r="M23" s="22"/>
      <c r="N23" s="79"/>
      <c r="O23" s="22"/>
      <c r="P23" s="22"/>
    </row>
    <row r="24" spans="1:16" ht="9.75" customHeight="1">
      <c r="A24" s="12"/>
      <c r="C24" s="433"/>
      <c r="D24" s="433"/>
      <c r="E24" s="433"/>
      <c r="K24" s="330"/>
      <c r="M24" s="22"/>
      <c r="N24" s="22"/>
      <c r="O24" s="22"/>
      <c r="P24" s="22"/>
    </row>
    <row r="25" spans="1:16">
      <c r="A25" s="12">
        <v>8</v>
      </c>
      <c r="C25" s="433" t="s">
        <v>455</v>
      </c>
      <c r="D25" s="437"/>
      <c r="E25" s="530">
        <f>'CF WA Gas'!E20</f>
        <v>0.20081923480669972</v>
      </c>
      <c r="J25" s="80">
        <f>ROUND(J23*0.21,0)</f>
        <v>2193</v>
      </c>
      <c r="K25" s="80">
        <f>ROUND(K23*0.21,0)</f>
        <v>436</v>
      </c>
      <c r="M25" s="22"/>
      <c r="N25" s="79"/>
      <c r="O25" s="22"/>
      <c r="P25" s="22"/>
    </row>
    <row r="26" spans="1:16" ht="9" customHeight="1">
      <c r="C26" s="433"/>
      <c r="D26" s="433"/>
      <c r="E26" s="433"/>
      <c r="K26" s="330"/>
      <c r="M26" s="22"/>
      <c r="N26" s="22"/>
      <c r="O26" s="22"/>
      <c r="P26" s="22"/>
    </row>
    <row r="27" spans="1:16" ht="13.5" thickBot="1">
      <c r="A27" s="12">
        <v>9</v>
      </c>
      <c r="C27" s="433" t="s">
        <v>155</v>
      </c>
      <c r="D27" s="433"/>
      <c r="E27" s="531">
        <f>ROUND(E23-E25,6)</f>
        <v>0.755463</v>
      </c>
      <c r="J27" s="81">
        <f>J23-J25</f>
        <v>8252</v>
      </c>
      <c r="K27" s="81">
        <f>K23-K25</f>
        <v>1641.5002150998789</v>
      </c>
      <c r="M27" s="22"/>
      <c r="N27" s="257"/>
      <c r="O27" s="22"/>
      <c r="P27" s="22"/>
    </row>
    <row r="28" spans="1:16" ht="13.5" customHeight="1" thickTop="1">
      <c r="C28" s="74"/>
      <c r="D28" s="74"/>
      <c r="F28" s="365"/>
      <c r="G28" s="365"/>
      <c r="H28" s="365"/>
      <c r="K28" s="330"/>
      <c r="M28" s="22"/>
      <c r="N28" s="22"/>
      <c r="O28" s="22"/>
      <c r="P28" s="22"/>
    </row>
    <row r="29" spans="1:16">
      <c r="A29" s="365"/>
      <c r="B29" s="365"/>
      <c r="C29" s="365"/>
      <c r="D29" s="365"/>
      <c r="E29" s="365"/>
      <c r="F29" s="365"/>
      <c r="G29" s="365"/>
      <c r="H29" s="365"/>
      <c r="J29" s="77">
        <f>J27/E27</f>
        <v>10923.102785973635</v>
      </c>
      <c r="K29" s="77">
        <f>K27/E27</f>
        <v>2172.8399870011885</v>
      </c>
      <c r="L29" s="11" t="s">
        <v>397</v>
      </c>
      <c r="M29" s="22"/>
      <c r="N29" s="22"/>
      <c r="O29" s="22"/>
      <c r="P29" s="22"/>
    </row>
    <row r="30" spans="1:16" ht="15.75" customHeight="1">
      <c r="A30" s="365"/>
      <c r="B30" s="365"/>
      <c r="C30" s="365"/>
      <c r="D30" s="365"/>
      <c r="E30" s="365"/>
      <c r="F30" s="365"/>
      <c r="G30" s="365"/>
      <c r="H30" s="365"/>
      <c r="J30" s="351">
        <f>J29-'RR SUMMARY'!F23</f>
        <v>1.1027859736350365</v>
      </c>
      <c r="K30" s="351">
        <f>K29-'RR SUMMARY'!H23</f>
        <v>1.3397719013096321</v>
      </c>
      <c r="L30" s="11" t="s">
        <v>83</v>
      </c>
      <c r="M30" s="22"/>
      <c r="N30" s="22"/>
      <c r="O30" s="22"/>
      <c r="P30" s="22"/>
    </row>
    <row r="31" spans="1:16" ht="4.5" customHeight="1">
      <c r="C31" s="74"/>
      <c r="D31" s="74"/>
      <c r="M31" s="22"/>
      <c r="N31" s="22"/>
      <c r="O31" s="22"/>
      <c r="P31" s="22"/>
    </row>
    <row r="32" spans="1:16">
      <c r="C32" s="74"/>
      <c r="D32" s="74"/>
      <c r="M32" s="22"/>
      <c r="N32" s="22"/>
      <c r="O32" s="22"/>
      <c r="P32" s="22"/>
    </row>
  </sheetData>
  <phoneticPr fontId="0" type="noConversion"/>
  <pageMargins left="0.75" right="0.5" top="0.97" bottom="0.84" header="0.5" footer="0.5"/>
  <pageSetup scale="98" orientation="portrait" r:id="rId1"/>
  <headerFooter alignWithMargins="0">
    <oddHeader>&amp;RExh. EMA-3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BN98"/>
  <sheetViews>
    <sheetView view="pageBreakPreview" zoomScaleNormal="100" zoomScaleSheetLayoutView="100" workbookViewId="0">
      <pane xSplit="5" ySplit="12" topLeftCell="F13" activePane="bottomRight" state="frozen"/>
      <selection activeCell="E39" sqref="E39"/>
      <selection pane="topRight" activeCell="E39" sqref="E39"/>
      <selection pane="bottomLeft" activeCell="E39" sqref="E39"/>
      <selection pane="bottomRight" activeCell="F2" sqref="F2"/>
    </sheetView>
  </sheetViews>
  <sheetFormatPr defaultColWidth="10.5703125" defaultRowHeight="12"/>
  <cols>
    <col min="1" max="1" width="5.5703125" style="113" customWidth="1"/>
    <col min="2" max="3" width="1.5703125" style="1" customWidth="1"/>
    <col min="4" max="4" width="30.42578125" style="1" customWidth="1"/>
    <col min="5" max="5" width="12.5703125" style="39" customWidth="1"/>
    <col min="6" max="6" width="11.5703125" style="444" customWidth="1"/>
    <col min="7" max="8" width="11.85546875" style="444" customWidth="1"/>
    <col min="9" max="9" width="10.140625" style="444" customWidth="1"/>
    <col min="10" max="10" width="10" style="444" customWidth="1"/>
    <col min="11" max="11" width="12.85546875" style="444" customWidth="1"/>
    <col min="12" max="12" width="11.140625" style="444" customWidth="1"/>
    <col min="13" max="13" width="9" style="444" customWidth="1"/>
    <col min="14" max="14" width="9.140625" style="444" customWidth="1"/>
    <col min="15" max="15" width="11.5703125" style="444" customWidth="1"/>
    <col min="16" max="16" width="9.5703125" style="444" customWidth="1"/>
    <col min="17" max="17" width="9.7109375" style="444" customWidth="1"/>
    <col min="18" max="18" width="14.42578125" style="444" customWidth="1"/>
    <col min="19" max="19" width="9.85546875" style="444" bestFit="1" customWidth="1"/>
    <col min="20" max="20" width="16.42578125" style="737" bestFit="1" customWidth="1"/>
    <col min="21" max="21" width="10.28515625" style="738" customWidth="1"/>
    <col min="22" max="22" width="12.42578125" style="444" customWidth="1"/>
    <col min="23" max="23" width="18.140625" style="444" customWidth="1"/>
    <col min="24" max="24" width="19" style="738" customWidth="1"/>
    <col min="25" max="25" width="17.140625" style="290" customWidth="1"/>
    <col min="26" max="26" width="18.7109375" style="290" customWidth="1"/>
    <col min="27" max="27" width="14.7109375" style="444" customWidth="1"/>
    <col min="28" max="28" width="20.5703125" style="444" customWidth="1"/>
    <col min="29" max="29" width="14.140625" style="444" customWidth="1"/>
    <col min="30" max="30" width="14.7109375" style="444" customWidth="1"/>
    <col min="31" max="31" width="15.7109375" style="444" customWidth="1"/>
    <col min="32" max="32" width="16.140625" style="444" customWidth="1"/>
    <col min="33" max="33" width="16.7109375" style="789" customWidth="1"/>
    <col min="34" max="34" width="13.28515625" style="290" customWidth="1"/>
    <col min="35" max="35" width="15" style="290" customWidth="1"/>
    <col min="36" max="36" width="14.140625" style="290" customWidth="1"/>
    <col min="37" max="37" width="12.85546875" style="444" customWidth="1"/>
    <col min="38" max="38" width="13.5703125" style="444" customWidth="1"/>
    <col min="39" max="39" width="12.5703125" style="444" customWidth="1"/>
    <col min="40" max="40" width="13" style="444" customWidth="1"/>
    <col min="41" max="41" width="18.28515625" style="444" customWidth="1"/>
    <col min="42" max="42" width="20.85546875" style="444" customWidth="1"/>
    <col min="43" max="43" width="21" style="444" customWidth="1"/>
    <col min="44" max="44" width="19.42578125" style="444" customWidth="1"/>
    <col min="45" max="45" width="8.85546875" style="494" hidden="1" customWidth="1"/>
    <col min="46" max="46" width="13" style="273" customWidth="1"/>
    <col min="47" max="47" width="3.140625" style="300" customWidth="1"/>
    <col min="48" max="48" width="13.140625" style="444" customWidth="1"/>
    <col min="49" max="49" width="13.42578125" style="444" customWidth="1"/>
    <col min="50" max="50" width="15" style="789" customWidth="1"/>
    <col min="51" max="51" width="13.28515625" style="290" customWidth="1"/>
    <col min="52" max="52" width="13.28515625" style="444" customWidth="1"/>
    <col min="53" max="53" width="10.7109375" style="444" customWidth="1"/>
    <col min="54" max="54" width="12.85546875" style="444" customWidth="1"/>
    <col min="55" max="55" width="10.28515625" style="444" customWidth="1"/>
    <col min="56" max="56" width="18.85546875" style="444" customWidth="1"/>
    <col min="57" max="57" width="17" style="444" customWidth="1"/>
    <col min="58" max="58" width="17.5703125" style="290" customWidth="1"/>
    <col min="59" max="59" width="16.140625" style="444" customWidth="1"/>
    <col min="60" max="66" width="10.5703125" style="344"/>
    <col min="67" max="16384" width="10.5703125" style="1"/>
  </cols>
  <sheetData>
    <row r="1" spans="1:66" ht="18" customHeight="1"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AW1" s="639" t="s">
        <v>621</v>
      </c>
    </row>
    <row r="2" spans="1:66" ht="18" customHeight="1">
      <c r="A2" s="274" t="str">
        <f>'ROO INPUT 1.00'!A3:C3</f>
        <v>AVISTA UTILITIES</v>
      </c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739"/>
      <c r="U2" s="739"/>
      <c r="V2" s="333"/>
      <c r="W2" s="333"/>
      <c r="X2" s="739"/>
      <c r="AA2" s="639" t="s">
        <v>622</v>
      </c>
      <c r="AC2" s="779"/>
      <c r="AD2" s="736"/>
      <c r="AE2" s="774"/>
      <c r="AF2" s="275"/>
      <c r="AH2" s="779"/>
      <c r="AJ2" s="779"/>
      <c r="AK2" s="333"/>
      <c r="AL2" s="275"/>
      <c r="AM2" s="333"/>
      <c r="AN2" s="774"/>
      <c r="AO2" s="333"/>
      <c r="AP2" s="1068" t="s">
        <v>673</v>
      </c>
      <c r="AQ2" s="1068" t="s">
        <v>673</v>
      </c>
      <c r="AS2" s="508"/>
      <c r="AV2" s="779"/>
      <c r="AW2" s="736"/>
      <c r="AX2" s="810"/>
      <c r="AY2" s="779"/>
      <c r="BA2" s="275"/>
      <c r="BB2" s="275"/>
      <c r="BC2" s="333"/>
      <c r="BD2" s="1068" t="s">
        <v>673</v>
      </c>
      <c r="BE2" s="783"/>
      <c r="BF2" s="637"/>
      <c r="BG2" s="637"/>
    </row>
    <row r="3" spans="1:66" ht="15" customHeight="1">
      <c r="A3" s="274" t="s">
        <v>409</v>
      </c>
      <c r="F3" s="706" t="s">
        <v>427</v>
      </c>
      <c r="J3" s="275"/>
      <c r="L3" s="705"/>
      <c r="Q3" s="275"/>
      <c r="R3" s="783"/>
      <c r="S3" s="705"/>
      <c r="T3" s="739"/>
      <c r="U3" s="739"/>
      <c r="V3" s="720"/>
      <c r="W3" s="705"/>
      <c r="X3" s="739"/>
      <c r="AB3" s="1025"/>
      <c r="AC3" s="705"/>
      <c r="AD3" s="637"/>
      <c r="AE3" s="774"/>
      <c r="AF3" s="774"/>
      <c r="AG3" s="790"/>
      <c r="AH3" s="333"/>
      <c r="AI3" s="705"/>
      <c r="AJ3" s="705"/>
      <c r="AK3" s="705"/>
      <c r="AL3" s="705"/>
      <c r="AM3" s="333"/>
      <c r="AN3" s="774"/>
      <c r="AO3" s="705"/>
      <c r="AP3" s="1068"/>
      <c r="AQ3" s="1068"/>
      <c r="AR3" s="705"/>
      <c r="AV3" s="705"/>
      <c r="AW3" s="637"/>
      <c r="AX3" s="790"/>
      <c r="AY3" s="705"/>
      <c r="AZ3" s="705"/>
      <c r="BA3" s="705"/>
      <c r="BB3" s="774"/>
      <c r="BC3" s="705"/>
      <c r="BD3" s="1068"/>
      <c r="BE3" s="783"/>
      <c r="BF3" s="637"/>
      <c r="BG3" s="637"/>
    </row>
    <row r="4" spans="1:66" ht="15" customHeight="1">
      <c r="A4" s="274" t="str">
        <f>'ROO INPUT 1.00'!A5:C5</f>
        <v>TWELVE MONTHS ENDED SEPTEMBER 30, 2021</v>
      </c>
      <c r="E4" s="707" t="s">
        <v>447</v>
      </c>
      <c r="F4" s="778"/>
      <c r="G4" s="697"/>
      <c r="H4" s="697"/>
      <c r="I4" s="697"/>
      <c r="J4" s="697"/>
      <c r="K4" s="717"/>
      <c r="L4" s="718"/>
      <c r="M4" s="290"/>
      <c r="N4" s="290"/>
      <c r="O4" s="290"/>
      <c r="P4" s="290"/>
      <c r="Q4" s="719"/>
      <c r="R4" s="290"/>
      <c r="S4" s="333"/>
      <c r="T4" s="740"/>
      <c r="U4" s="741"/>
      <c r="V4" s="720"/>
      <c r="W4" s="727"/>
      <c r="X4" s="741"/>
      <c r="Z4" s="300"/>
      <c r="AB4" s="1007"/>
      <c r="AC4" s="727"/>
      <c r="AD4" s="736"/>
      <c r="AE4" s="815"/>
      <c r="AF4" s="774"/>
      <c r="AG4" s="790"/>
      <c r="AH4" s="333"/>
      <c r="AI4" s="816"/>
      <c r="AJ4" s="727"/>
      <c r="AK4" s="727"/>
      <c r="AL4" s="727"/>
      <c r="AM4" s="333"/>
      <c r="AN4" s="815"/>
      <c r="AO4" s="727"/>
      <c r="AP4" s="1068"/>
      <c r="AQ4" s="1068"/>
      <c r="AR4" s="727"/>
      <c r="AV4" s="727"/>
      <c r="AW4" s="736"/>
      <c r="AX4" s="790"/>
      <c r="AY4" s="727"/>
      <c r="AZ4" s="727"/>
      <c r="BA4" s="727"/>
      <c r="BB4" s="774"/>
      <c r="BC4" s="815"/>
      <c r="BD4" s="1068"/>
      <c r="BE4" s="783"/>
      <c r="BF4" s="638"/>
      <c r="BG4" s="638"/>
    </row>
    <row r="5" spans="1:66" s="277" customFormat="1" ht="14.25" customHeight="1">
      <c r="A5" s="274" t="str">
        <f>'ROO INPUT 1.00'!A6:C6</f>
        <v xml:space="preserve">(000'S OF DOLLARS)   </v>
      </c>
      <c r="B5" s="113"/>
      <c r="C5" s="113"/>
      <c r="D5" s="113"/>
      <c r="E5" s="708" t="s">
        <v>454</v>
      </c>
      <c r="F5" s="778"/>
      <c r="G5" s="697"/>
      <c r="H5" s="697"/>
      <c r="I5" s="697"/>
      <c r="J5" s="697"/>
      <c r="K5" s="717"/>
      <c r="L5" s="718"/>
      <c r="M5" s="276"/>
      <c r="N5" s="276"/>
      <c r="O5" s="276"/>
      <c r="P5" s="276"/>
      <c r="Q5" s="719"/>
      <c r="R5" s="276"/>
      <c r="S5" s="637"/>
      <c r="T5" s="742"/>
      <c r="U5" s="743"/>
      <c r="V5" s="721"/>
      <c r="W5" s="728"/>
      <c r="X5" s="743"/>
      <c r="Y5" s="276"/>
      <c r="Z5" s="447"/>
      <c r="AA5" s="511"/>
      <c r="AB5" s="1007"/>
      <c r="AC5" s="727"/>
      <c r="AD5" s="637"/>
      <c r="AE5" s="816"/>
      <c r="AF5" s="774"/>
      <c r="AG5" s="791"/>
      <c r="AH5" s="511"/>
      <c r="AI5" s="906"/>
      <c r="AJ5" s="727"/>
      <c r="AK5" s="727"/>
      <c r="AL5" s="727"/>
      <c r="AM5" s="721"/>
      <c r="AN5" s="774"/>
      <c r="AO5" s="727"/>
      <c r="AP5" s="1068"/>
      <c r="AQ5" s="1068"/>
      <c r="AR5" s="728"/>
      <c r="AS5" s="529"/>
      <c r="AT5" s="276"/>
      <c r="AU5" s="447"/>
      <c r="AV5" s="727"/>
      <c r="AW5" s="637"/>
      <c r="AX5" s="811"/>
      <c r="AY5" s="728"/>
      <c r="AZ5" s="333"/>
      <c r="BA5" s="727"/>
      <c r="BB5" s="774"/>
      <c r="BC5" s="727"/>
      <c r="BD5" s="1068"/>
      <c r="BE5" s="728"/>
      <c r="BF5" s="637"/>
      <c r="BG5" s="632" t="s">
        <v>569</v>
      </c>
      <c r="BH5" s="623"/>
      <c r="BI5" s="623"/>
      <c r="BJ5" s="623"/>
      <c r="BK5" s="623"/>
      <c r="BL5" s="623"/>
      <c r="BM5" s="623"/>
      <c r="BN5" s="623"/>
    </row>
    <row r="6" spans="1:66" s="574" customFormat="1" ht="15" customHeight="1">
      <c r="A6" s="242"/>
      <c r="D6" s="588"/>
      <c r="E6" s="709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744"/>
      <c r="U6" s="744"/>
      <c r="V6" s="512"/>
      <c r="W6" s="512"/>
      <c r="X6" s="744"/>
      <c r="Y6" s="512"/>
      <c r="Z6" s="534"/>
      <c r="AA6" s="512"/>
      <c r="AB6" s="512"/>
      <c r="AC6" s="512"/>
      <c r="AD6" s="512"/>
      <c r="AE6" s="817"/>
      <c r="AF6" s="512"/>
      <c r="AG6" s="792"/>
      <c r="AH6" s="512"/>
      <c r="AI6" s="512"/>
      <c r="AJ6" s="512"/>
      <c r="AK6" s="512"/>
      <c r="AL6" s="512"/>
      <c r="AM6" s="512"/>
      <c r="AN6" s="512"/>
      <c r="AO6" s="512"/>
      <c r="AP6" s="1069"/>
      <c r="AQ6" s="1069"/>
      <c r="AR6" s="512"/>
      <c r="AS6" s="594"/>
      <c r="AT6" s="605" t="s">
        <v>558</v>
      </c>
      <c r="AU6" s="534"/>
      <c r="AV6" s="512"/>
      <c r="AW6" s="512"/>
      <c r="AX6" s="792"/>
      <c r="AY6" s="512"/>
      <c r="AZ6" s="512"/>
      <c r="BA6" s="512"/>
      <c r="BB6" s="512"/>
      <c r="BC6" s="512"/>
      <c r="BD6" s="1069"/>
      <c r="BE6" s="827"/>
      <c r="BF6" s="605" t="s">
        <v>569</v>
      </c>
      <c r="BG6" s="633" t="s">
        <v>571</v>
      </c>
      <c r="BH6" s="623"/>
      <c r="BI6" s="623"/>
      <c r="BJ6" s="623"/>
      <c r="BK6" s="623"/>
      <c r="BL6" s="623"/>
      <c r="BM6" s="623"/>
      <c r="BN6" s="623"/>
    </row>
    <row r="7" spans="1:66" s="542" customFormat="1" ht="12" customHeight="1">
      <c r="A7" s="538"/>
      <c r="B7" s="539"/>
      <c r="C7" s="540"/>
      <c r="D7" s="541"/>
      <c r="E7" s="698" t="s">
        <v>0</v>
      </c>
      <c r="F7" s="698" t="s">
        <v>1</v>
      </c>
      <c r="G7" s="698" t="s">
        <v>438</v>
      </c>
      <c r="H7" s="698" t="s">
        <v>400</v>
      </c>
      <c r="I7" s="698" t="s">
        <v>2</v>
      </c>
      <c r="J7" s="698" t="s">
        <v>5</v>
      </c>
      <c r="K7" s="698" t="s">
        <v>113</v>
      </c>
      <c r="L7" s="698" t="s">
        <v>3</v>
      </c>
      <c r="M7" s="698" t="s">
        <v>4</v>
      </c>
      <c r="N7" s="698" t="s">
        <v>395</v>
      </c>
      <c r="O7" s="698" t="s">
        <v>6</v>
      </c>
      <c r="P7" s="698" t="s">
        <v>5</v>
      </c>
      <c r="Q7" s="698" t="s">
        <v>127</v>
      </c>
      <c r="R7" s="698" t="s">
        <v>412</v>
      </c>
      <c r="S7" s="722" t="s">
        <v>414</v>
      </c>
      <c r="T7" s="745" t="s">
        <v>443</v>
      </c>
      <c r="U7" s="746" t="s">
        <v>158</v>
      </c>
      <c r="V7" s="722" t="s">
        <v>5</v>
      </c>
      <c r="W7" s="269" t="s">
        <v>532</v>
      </c>
      <c r="X7" s="269" t="s">
        <v>532</v>
      </c>
      <c r="Y7" s="269" t="s">
        <v>404</v>
      </c>
      <c r="Z7" s="448"/>
      <c r="AA7" s="780" t="s">
        <v>15</v>
      </c>
      <c r="AB7" s="269" t="s">
        <v>403</v>
      </c>
      <c r="AC7" s="698" t="s">
        <v>15</v>
      </c>
      <c r="AD7" s="698" t="s">
        <v>15</v>
      </c>
      <c r="AE7" s="269" t="s">
        <v>15</v>
      </c>
      <c r="AF7" s="775" t="s">
        <v>15</v>
      </c>
      <c r="AG7" s="920" t="s">
        <v>403</v>
      </c>
      <c r="AH7" s="698" t="s">
        <v>15</v>
      </c>
      <c r="AI7" s="698" t="s">
        <v>15</v>
      </c>
      <c r="AJ7" s="698" t="s">
        <v>585</v>
      </c>
      <c r="AK7" s="698" t="s">
        <v>15</v>
      </c>
      <c r="AL7" s="698" t="s">
        <v>15</v>
      </c>
      <c r="AM7" s="698" t="s">
        <v>15</v>
      </c>
      <c r="AN7" s="698" t="s">
        <v>15</v>
      </c>
      <c r="AO7" s="907" t="s">
        <v>548</v>
      </c>
      <c r="AP7" s="820" t="s">
        <v>553</v>
      </c>
      <c r="AQ7" s="820" t="s">
        <v>553</v>
      </c>
      <c r="AR7" s="820" t="s">
        <v>675</v>
      </c>
      <c r="AS7" s="509" t="s">
        <v>15</v>
      </c>
      <c r="AT7" s="608" t="s">
        <v>648</v>
      </c>
      <c r="AU7" s="343"/>
      <c r="AV7" s="698" t="s">
        <v>15</v>
      </c>
      <c r="AW7" s="698" t="s">
        <v>15</v>
      </c>
      <c r="AX7" s="920" t="s">
        <v>403</v>
      </c>
      <c r="AY7" s="698" t="s">
        <v>15</v>
      </c>
      <c r="AZ7" s="698" t="s">
        <v>15</v>
      </c>
      <c r="BA7" s="698" t="s">
        <v>15</v>
      </c>
      <c r="BB7" s="775" t="s">
        <v>15</v>
      </c>
      <c r="BC7" s="698" t="s">
        <v>15</v>
      </c>
      <c r="BD7" s="820" t="s">
        <v>553</v>
      </c>
      <c r="BE7" s="820" t="s">
        <v>678</v>
      </c>
      <c r="BF7" s="606" t="s">
        <v>679</v>
      </c>
      <c r="BG7" s="634" t="s">
        <v>680</v>
      </c>
      <c r="BH7" s="545"/>
      <c r="BI7" s="545"/>
      <c r="BJ7" s="545"/>
      <c r="BK7" s="545"/>
      <c r="BL7" s="545"/>
      <c r="BM7" s="545"/>
      <c r="BN7" s="545"/>
    </row>
    <row r="8" spans="1:66" s="542" customFormat="1">
      <c r="A8" s="543" t="s">
        <v>7</v>
      </c>
      <c r="B8" s="544"/>
      <c r="C8" s="545"/>
      <c r="D8" s="546"/>
      <c r="E8" s="699" t="s">
        <v>8</v>
      </c>
      <c r="F8" s="699" t="s">
        <v>9</v>
      </c>
      <c r="G8" s="699" t="s">
        <v>439</v>
      </c>
      <c r="H8" s="699" t="s">
        <v>130</v>
      </c>
      <c r="I8" s="699" t="s">
        <v>10</v>
      </c>
      <c r="J8" s="699" t="s">
        <v>11</v>
      </c>
      <c r="K8" s="699" t="s">
        <v>12</v>
      </c>
      <c r="L8" s="699" t="s">
        <v>12</v>
      </c>
      <c r="M8" s="699" t="s">
        <v>442</v>
      </c>
      <c r="N8" s="699" t="s">
        <v>396</v>
      </c>
      <c r="O8" s="699" t="s">
        <v>14</v>
      </c>
      <c r="P8" s="699" t="s">
        <v>128</v>
      </c>
      <c r="Q8" s="699" t="s">
        <v>440</v>
      </c>
      <c r="R8" s="699" t="s">
        <v>413</v>
      </c>
      <c r="S8" s="723" t="s">
        <v>415</v>
      </c>
      <c r="T8" s="747" t="s">
        <v>444</v>
      </c>
      <c r="U8" s="748" t="s">
        <v>437</v>
      </c>
      <c r="V8" s="723" t="s">
        <v>13</v>
      </c>
      <c r="W8" s="729" t="s">
        <v>449</v>
      </c>
      <c r="X8" s="723" t="s">
        <v>624</v>
      </c>
      <c r="Y8" s="315" t="s">
        <v>203</v>
      </c>
      <c r="Z8" s="448"/>
      <c r="AA8" s="781" t="s">
        <v>411</v>
      </c>
      <c r="AB8" s="315" t="s">
        <v>491</v>
      </c>
      <c r="AC8" s="772" t="s">
        <v>618</v>
      </c>
      <c r="AD8" s="772" t="s">
        <v>462</v>
      </c>
      <c r="AE8" s="315" t="s">
        <v>592</v>
      </c>
      <c r="AF8" s="699" t="s">
        <v>448</v>
      </c>
      <c r="AG8" s="921" t="s">
        <v>635</v>
      </c>
      <c r="AH8" s="772" t="s">
        <v>124</v>
      </c>
      <c r="AI8" s="772" t="s">
        <v>446</v>
      </c>
      <c r="AJ8" s="772" t="s">
        <v>586</v>
      </c>
      <c r="AK8" s="699" t="s">
        <v>11</v>
      </c>
      <c r="AL8" s="699" t="s">
        <v>465</v>
      </c>
      <c r="AM8" s="772" t="s">
        <v>445</v>
      </c>
      <c r="AN8" s="772" t="s">
        <v>551</v>
      </c>
      <c r="AO8" s="821" t="s">
        <v>549</v>
      </c>
      <c r="AP8" s="828" t="s">
        <v>554</v>
      </c>
      <c r="AQ8" s="828" t="s">
        <v>554</v>
      </c>
      <c r="AR8" s="828" t="s">
        <v>676</v>
      </c>
      <c r="AS8" s="595" t="s">
        <v>466</v>
      </c>
      <c r="AT8" s="609" t="s">
        <v>559</v>
      </c>
      <c r="AU8" s="448"/>
      <c r="AV8" s="772" t="s">
        <v>619</v>
      </c>
      <c r="AW8" s="772" t="s">
        <v>672</v>
      </c>
      <c r="AX8" s="921" t="s">
        <v>635</v>
      </c>
      <c r="AY8" s="772" t="s">
        <v>446</v>
      </c>
      <c r="AZ8" s="699" t="s">
        <v>11</v>
      </c>
      <c r="BA8" s="699" t="s">
        <v>465</v>
      </c>
      <c r="BB8" s="699" t="s">
        <v>448</v>
      </c>
      <c r="BC8" s="772" t="s">
        <v>551</v>
      </c>
      <c r="BD8" s="828" t="s">
        <v>554</v>
      </c>
      <c r="BE8" s="828" t="s">
        <v>674</v>
      </c>
      <c r="BF8" s="533" t="s">
        <v>559</v>
      </c>
      <c r="BG8" s="635" t="s">
        <v>559</v>
      </c>
      <c r="BH8" s="545"/>
      <c r="BI8" s="545"/>
      <c r="BJ8" s="545"/>
      <c r="BK8" s="545"/>
      <c r="BL8" s="545"/>
      <c r="BM8" s="545"/>
      <c r="BN8" s="545"/>
    </row>
    <row r="9" spans="1:66" s="542" customFormat="1">
      <c r="A9" s="547" t="s">
        <v>16</v>
      </c>
      <c r="B9" s="548"/>
      <c r="C9" s="549"/>
      <c r="D9" s="550" t="s">
        <v>17</v>
      </c>
      <c r="E9" s="700" t="s">
        <v>18</v>
      </c>
      <c r="F9" s="700" t="s">
        <v>19</v>
      </c>
      <c r="G9" s="700" t="s">
        <v>207</v>
      </c>
      <c r="H9" s="700"/>
      <c r="I9" s="700" t="s">
        <v>21</v>
      </c>
      <c r="J9" s="700" t="s">
        <v>22</v>
      </c>
      <c r="K9" s="700"/>
      <c r="L9" s="700"/>
      <c r="M9" s="700" t="s">
        <v>23</v>
      </c>
      <c r="N9" s="700" t="s">
        <v>12</v>
      </c>
      <c r="O9" s="700" t="s">
        <v>463</v>
      </c>
      <c r="P9" s="700" t="s">
        <v>21</v>
      </c>
      <c r="Q9" s="700" t="s">
        <v>441</v>
      </c>
      <c r="R9" s="700" t="s">
        <v>114</v>
      </c>
      <c r="S9" s="724" t="s">
        <v>416</v>
      </c>
      <c r="T9" s="749" t="s">
        <v>464</v>
      </c>
      <c r="U9" s="750" t="s">
        <v>12</v>
      </c>
      <c r="V9" s="724" t="s">
        <v>24</v>
      </c>
      <c r="W9" s="730" t="s">
        <v>450</v>
      </c>
      <c r="X9" s="724" t="s">
        <v>625</v>
      </c>
      <c r="Y9" s="438"/>
      <c r="Z9" s="449"/>
      <c r="AA9" s="782" t="s">
        <v>406</v>
      </c>
      <c r="AB9" s="730" t="s">
        <v>492</v>
      </c>
      <c r="AC9" s="700" t="s">
        <v>493</v>
      </c>
      <c r="AD9" s="773" t="s">
        <v>420</v>
      </c>
      <c r="AE9" s="730" t="s">
        <v>420</v>
      </c>
      <c r="AF9" s="700" t="s">
        <v>420</v>
      </c>
      <c r="AG9" s="922" t="s">
        <v>636</v>
      </c>
      <c r="AH9" s="784" t="s">
        <v>125</v>
      </c>
      <c r="AI9" s="784" t="s">
        <v>157</v>
      </c>
      <c r="AJ9" s="784" t="s">
        <v>124</v>
      </c>
      <c r="AK9" s="700" t="s">
        <v>22</v>
      </c>
      <c r="AL9" s="700" t="s">
        <v>12</v>
      </c>
      <c r="AM9" s="700" t="s">
        <v>12</v>
      </c>
      <c r="AN9" s="700" t="s">
        <v>552</v>
      </c>
      <c r="AO9" s="773" t="s">
        <v>550</v>
      </c>
      <c r="AP9" s="829" t="s">
        <v>555</v>
      </c>
      <c r="AQ9" s="829" t="s">
        <v>556</v>
      </c>
      <c r="AR9" s="829" t="s">
        <v>677</v>
      </c>
      <c r="AS9" s="596"/>
      <c r="AT9" s="610" t="s">
        <v>203</v>
      </c>
      <c r="AU9" s="278"/>
      <c r="AV9" s="700" t="s">
        <v>493</v>
      </c>
      <c r="AW9" s="773" t="s">
        <v>420</v>
      </c>
      <c r="AX9" s="922" t="s">
        <v>636</v>
      </c>
      <c r="AY9" s="784" t="s">
        <v>157</v>
      </c>
      <c r="AZ9" s="700" t="s">
        <v>22</v>
      </c>
      <c r="BA9" s="700" t="s">
        <v>12</v>
      </c>
      <c r="BB9" s="700" t="s">
        <v>420</v>
      </c>
      <c r="BC9" s="700" t="s">
        <v>552</v>
      </c>
      <c r="BD9" s="829" t="s">
        <v>560</v>
      </c>
      <c r="BE9" s="829" t="s">
        <v>682</v>
      </c>
      <c r="BF9" s="607" t="s">
        <v>203</v>
      </c>
      <c r="BG9" s="633" t="s">
        <v>203</v>
      </c>
      <c r="BH9" s="545"/>
      <c r="BI9" s="545"/>
      <c r="BJ9" s="545"/>
      <c r="BK9" s="545"/>
      <c r="BL9" s="545"/>
      <c r="BM9" s="545"/>
      <c r="BN9" s="545"/>
    </row>
    <row r="10" spans="1:66" s="542" customFormat="1">
      <c r="A10" s="511"/>
      <c r="B10" s="551" t="s">
        <v>174</v>
      </c>
      <c r="E10" s="701">
        <v>1</v>
      </c>
      <c r="F10" s="701">
        <f>E10+0.01</f>
        <v>1.01</v>
      </c>
      <c r="G10" s="701">
        <f t="shared" ref="G10" si="0">F10+0.01</f>
        <v>1.02</v>
      </c>
      <c r="H10" s="701">
        <f>G10+0.01</f>
        <v>1.03</v>
      </c>
      <c r="I10" s="701">
        <v>2.0099999999999998</v>
      </c>
      <c r="J10" s="701">
        <f>I10+0.01</f>
        <v>2.0199999999999996</v>
      </c>
      <c r="K10" s="701">
        <f t="shared" ref="K10:R10" si="1">J10+0.01</f>
        <v>2.0299999999999994</v>
      </c>
      <c r="L10" s="701">
        <f t="shared" si="1"/>
        <v>2.0399999999999991</v>
      </c>
      <c r="M10" s="701">
        <f t="shared" si="1"/>
        <v>2.0499999999999989</v>
      </c>
      <c r="N10" s="701">
        <f t="shared" si="1"/>
        <v>2.0599999999999987</v>
      </c>
      <c r="O10" s="701">
        <f t="shared" si="1"/>
        <v>2.0699999999999985</v>
      </c>
      <c r="P10" s="701">
        <f t="shared" si="1"/>
        <v>2.0799999999999983</v>
      </c>
      <c r="Q10" s="701">
        <f t="shared" si="1"/>
        <v>2.0899999999999981</v>
      </c>
      <c r="R10" s="701">
        <f t="shared" si="1"/>
        <v>2.0999999999999979</v>
      </c>
      <c r="S10" s="280">
        <f t="shared" ref="S10" si="2">R10+0.01</f>
        <v>2.1099999999999977</v>
      </c>
      <c r="T10" s="751">
        <f t="shared" ref="T10" si="3">S10+0.01</f>
        <v>2.1199999999999974</v>
      </c>
      <c r="U10" s="751">
        <f t="shared" ref="U10" si="4">T10+0.01</f>
        <v>2.1299999999999972</v>
      </c>
      <c r="V10" s="280">
        <f t="shared" ref="V10" si="5">U10+0.01</f>
        <v>2.139999999999997</v>
      </c>
      <c r="W10" s="280">
        <f>V10+0.01</f>
        <v>2.1499999999999968</v>
      </c>
      <c r="X10" s="751">
        <f t="shared" ref="X10" si="6">W10+0.01</f>
        <v>2.1599999999999966</v>
      </c>
      <c r="Y10" s="275"/>
      <c r="Z10" s="278"/>
      <c r="AA10" s="280">
        <v>3.01</v>
      </c>
      <c r="AB10" s="280">
        <f>AA10+0.01</f>
        <v>3.0199999999999996</v>
      </c>
      <c r="AC10" s="280">
        <f t="shared" ref="AC10" si="7">AB10+0.01</f>
        <v>3.0299999999999994</v>
      </c>
      <c r="AD10" s="280">
        <f t="shared" ref="AD10" si="8">AC10+0.01</f>
        <v>3.0399999999999991</v>
      </c>
      <c r="AE10" s="818">
        <v>3.0499999999999989</v>
      </c>
      <c r="AF10" s="280">
        <f t="shared" ref="AF10:AJ10" si="9">AE10+0.01</f>
        <v>3.0599999999999987</v>
      </c>
      <c r="AG10" s="793">
        <f t="shared" si="9"/>
        <v>3.0699999999999985</v>
      </c>
      <c r="AH10" s="280">
        <f t="shared" si="9"/>
        <v>3.0799999999999983</v>
      </c>
      <c r="AI10" s="280">
        <f t="shared" si="9"/>
        <v>3.0899999999999981</v>
      </c>
      <c r="AJ10" s="280">
        <f t="shared" si="9"/>
        <v>3.0999999999999979</v>
      </c>
      <c r="AK10" s="280">
        <f>AJ10+0.01</f>
        <v>3.1099999999999977</v>
      </c>
      <c r="AL10" s="280">
        <f t="shared" ref="AL10" si="10">AK10+0.01</f>
        <v>3.1199999999999974</v>
      </c>
      <c r="AM10" s="280">
        <f t="shared" ref="AM10" si="11">AL10+0.01</f>
        <v>3.1299999999999972</v>
      </c>
      <c r="AN10" s="280">
        <f t="shared" ref="AN10" si="12">AM10+0.01</f>
        <v>3.139999999999997</v>
      </c>
      <c r="AO10" s="280">
        <f t="shared" ref="AO10" si="13">AN10+0.01</f>
        <v>3.1499999999999968</v>
      </c>
      <c r="AP10" s="818">
        <v>4.01</v>
      </c>
      <c r="AQ10" s="818">
        <f t="shared" ref="AQ10" si="14">AP10+0.01</f>
        <v>4.0199999999999996</v>
      </c>
      <c r="AR10" s="822">
        <f t="shared" ref="AR10:AS10" si="15">AQ10+0.01</f>
        <v>4.0299999999999994</v>
      </c>
      <c r="AS10" s="604">
        <f t="shared" si="15"/>
        <v>4.0399999999999991</v>
      </c>
      <c r="AT10" s="611"/>
      <c r="AU10" s="278"/>
      <c r="AV10" s="280">
        <v>5</v>
      </c>
      <c r="AW10" s="280">
        <f>5.01</f>
        <v>5.01</v>
      </c>
      <c r="AX10" s="793">
        <f>AW10+0.01</f>
        <v>5.0199999999999996</v>
      </c>
      <c r="AY10" s="280">
        <f t="shared" ref="AY10" si="16">AX10+0.01</f>
        <v>5.0299999999999994</v>
      </c>
      <c r="AZ10" s="280">
        <f t="shared" ref="AZ10" si="17">AY10+0.01</f>
        <v>5.0399999999999991</v>
      </c>
      <c r="BA10" s="280">
        <f t="shared" ref="BA10:BB10" si="18">AZ10+0.01</f>
        <v>5.0499999999999989</v>
      </c>
      <c r="BB10" s="280">
        <f t="shared" si="18"/>
        <v>5.0599999999999987</v>
      </c>
      <c r="BC10" s="280">
        <f>BB10+0.01</f>
        <v>5.0699999999999985</v>
      </c>
      <c r="BD10" s="280">
        <f t="shared" ref="BD10" si="19">BC10+0.01</f>
        <v>5.0799999999999983</v>
      </c>
      <c r="BE10" s="280">
        <f t="shared" ref="BE10" si="20">BD10+0.01</f>
        <v>5.0899999999999981</v>
      </c>
      <c r="BF10" s="621" t="s">
        <v>570</v>
      </c>
      <c r="BG10" s="636" t="s">
        <v>572</v>
      </c>
      <c r="BH10" s="545"/>
      <c r="BI10" s="545"/>
      <c r="BJ10" s="545"/>
      <c r="BK10" s="545"/>
      <c r="BL10" s="545"/>
      <c r="BM10" s="545"/>
      <c r="BN10" s="545"/>
    </row>
    <row r="11" spans="1:66" s="542" customFormat="1">
      <c r="A11" s="511"/>
      <c r="B11" s="551" t="s">
        <v>175</v>
      </c>
      <c r="E11" s="275" t="s">
        <v>176</v>
      </c>
      <c r="F11" s="275" t="s">
        <v>177</v>
      </c>
      <c r="G11" s="275" t="s">
        <v>178</v>
      </c>
      <c r="H11" s="275" t="s">
        <v>401</v>
      </c>
      <c r="I11" s="275" t="s">
        <v>179</v>
      </c>
      <c r="J11" s="275" t="s">
        <v>398</v>
      </c>
      <c r="K11" s="275" t="s">
        <v>180</v>
      </c>
      <c r="L11" s="275" t="s">
        <v>181</v>
      </c>
      <c r="M11" s="275" t="s">
        <v>182</v>
      </c>
      <c r="N11" s="275" t="s">
        <v>183</v>
      </c>
      <c r="O11" s="275" t="s">
        <v>185</v>
      </c>
      <c r="P11" s="275" t="s">
        <v>392</v>
      </c>
      <c r="Q11" s="275" t="s">
        <v>184</v>
      </c>
      <c r="R11" s="275" t="s">
        <v>429</v>
      </c>
      <c r="S11" s="275" t="s">
        <v>417</v>
      </c>
      <c r="T11" s="752" t="s">
        <v>186</v>
      </c>
      <c r="U11" s="752" t="s">
        <v>187</v>
      </c>
      <c r="V11" s="275" t="s">
        <v>188</v>
      </c>
      <c r="W11" s="731" t="s">
        <v>580</v>
      </c>
      <c r="X11" s="752" t="s">
        <v>623</v>
      </c>
      <c r="Y11" s="275" t="s">
        <v>393</v>
      </c>
      <c r="Z11" s="278"/>
      <c r="AA11" s="275" t="s">
        <v>419</v>
      </c>
      <c r="AB11" s="275" t="s">
        <v>495</v>
      </c>
      <c r="AC11" s="275" t="s">
        <v>494</v>
      </c>
      <c r="AD11" s="275" t="s">
        <v>490</v>
      </c>
      <c r="AE11" s="818" t="s">
        <v>591</v>
      </c>
      <c r="AF11" s="275" t="s">
        <v>589</v>
      </c>
      <c r="AG11" s="794" t="s">
        <v>189</v>
      </c>
      <c r="AH11" s="275" t="s">
        <v>190</v>
      </c>
      <c r="AI11" s="275" t="s">
        <v>191</v>
      </c>
      <c r="AJ11" s="275" t="s">
        <v>587</v>
      </c>
      <c r="AK11" s="275" t="s">
        <v>399</v>
      </c>
      <c r="AL11" s="275" t="s">
        <v>468</v>
      </c>
      <c r="AM11" s="275" t="s">
        <v>467</v>
      </c>
      <c r="AN11" s="275" t="s">
        <v>584</v>
      </c>
      <c r="AO11" s="731" t="s">
        <v>581</v>
      </c>
      <c r="AP11" s="731" t="s">
        <v>557</v>
      </c>
      <c r="AQ11" s="731" t="s">
        <v>582</v>
      </c>
      <c r="AR11" s="731" t="s">
        <v>568</v>
      </c>
      <c r="AS11" s="508"/>
      <c r="AT11" s="611" t="s">
        <v>394</v>
      </c>
      <c r="AU11" s="278"/>
      <c r="AV11" s="275" t="s">
        <v>620</v>
      </c>
      <c r="AW11" s="275" t="s">
        <v>583</v>
      </c>
      <c r="AX11" s="794" t="s">
        <v>565</v>
      </c>
      <c r="AY11" s="275" t="s">
        <v>561</v>
      </c>
      <c r="AZ11" s="275" t="s">
        <v>563</v>
      </c>
      <c r="BA11" s="275" t="s">
        <v>562</v>
      </c>
      <c r="BB11" s="275" t="s">
        <v>588</v>
      </c>
      <c r="BC11" s="731" t="s">
        <v>564</v>
      </c>
      <c r="BD11" s="731" t="s">
        <v>566</v>
      </c>
      <c r="BE11" s="731" t="s">
        <v>567</v>
      </c>
      <c r="BF11" s="622"/>
      <c r="BG11" s="644"/>
      <c r="BH11" s="545"/>
      <c r="BI11" s="545"/>
      <c r="BJ11" s="545"/>
      <c r="BK11" s="545"/>
      <c r="BL11" s="545"/>
      <c r="BM11" s="545"/>
      <c r="BN11" s="545"/>
    </row>
    <row r="12" spans="1:66" s="286" customFormat="1" ht="6" customHeight="1">
      <c r="A12" s="242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737"/>
      <c r="U12" s="737"/>
      <c r="V12" s="444"/>
      <c r="W12" s="444"/>
      <c r="X12" s="737"/>
      <c r="Y12" s="290"/>
      <c r="Z12" s="300"/>
      <c r="AA12" s="444"/>
      <c r="AB12" s="444"/>
      <c r="AC12" s="444"/>
      <c r="AD12" s="444"/>
      <c r="AE12" s="444"/>
      <c r="AF12" s="444"/>
      <c r="AG12" s="125"/>
      <c r="AH12" s="444"/>
      <c r="AI12" s="444"/>
      <c r="AJ12" s="444"/>
      <c r="AK12" s="444"/>
      <c r="AL12" s="444"/>
      <c r="AM12" s="444"/>
      <c r="AN12" s="444"/>
      <c r="AO12" s="444"/>
      <c r="AP12" s="281"/>
      <c r="AQ12" s="281"/>
      <c r="AR12" s="281"/>
      <c r="AS12" s="494"/>
      <c r="AT12" s="612"/>
      <c r="AU12" s="300"/>
      <c r="AV12" s="444"/>
      <c r="AW12" s="444"/>
      <c r="AX12" s="125"/>
      <c r="AY12" s="444"/>
      <c r="AZ12" s="444"/>
      <c r="BA12" s="444"/>
      <c r="BB12" s="444"/>
      <c r="BC12" s="444"/>
      <c r="BD12" s="281"/>
      <c r="BE12" s="281"/>
      <c r="BF12" s="892"/>
      <c r="BG12" s="444"/>
      <c r="BH12" s="344"/>
      <c r="BI12" s="344"/>
      <c r="BJ12" s="344"/>
      <c r="BK12" s="344"/>
      <c r="BL12" s="344"/>
      <c r="BM12" s="344"/>
      <c r="BN12" s="344"/>
    </row>
    <row r="13" spans="1:66">
      <c r="B13" s="1" t="s">
        <v>32</v>
      </c>
      <c r="U13" s="737"/>
      <c r="X13" s="737"/>
      <c r="Z13" s="300"/>
      <c r="AG13" s="125"/>
      <c r="AH13" s="444"/>
      <c r="AI13" s="444"/>
      <c r="AJ13" s="444"/>
      <c r="AP13" s="281"/>
      <c r="AQ13" s="281"/>
      <c r="AR13" s="281"/>
      <c r="AT13" s="612"/>
      <c r="AX13" s="125"/>
      <c r="AY13" s="444"/>
      <c r="BD13" s="281"/>
      <c r="BE13" s="281"/>
      <c r="BF13" s="892"/>
    </row>
    <row r="14" spans="1:66" s="2" customFormat="1">
      <c r="A14" s="113">
        <v>1</v>
      </c>
      <c r="B14" s="2" t="s">
        <v>33</v>
      </c>
      <c r="E14" s="710">
        <f>'ROO INPUT 1.00'!$F15</f>
        <v>156530</v>
      </c>
      <c r="F14" s="645">
        <v>0</v>
      </c>
      <c r="G14" s="645">
        <v>0</v>
      </c>
      <c r="H14" s="645">
        <v>0</v>
      </c>
      <c r="I14" s="648">
        <v>-5417</v>
      </c>
      <c r="J14" s="645">
        <v>0</v>
      </c>
      <c r="K14" s="645">
        <v>0</v>
      </c>
      <c r="L14" s="645">
        <v>0</v>
      </c>
      <c r="M14" s="645">
        <v>0</v>
      </c>
      <c r="N14" s="645">
        <v>0</v>
      </c>
      <c r="O14" s="645">
        <v>0</v>
      </c>
      <c r="P14" s="645">
        <v>0</v>
      </c>
      <c r="Q14" s="645">
        <v>0</v>
      </c>
      <c r="R14" s="645">
        <v>8279</v>
      </c>
      <c r="S14" s="645">
        <v>-4578</v>
      </c>
      <c r="T14" s="753">
        <v>0</v>
      </c>
      <c r="U14" s="753">
        <v>0</v>
      </c>
      <c r="V14" s="645">
        <v>0</v>
      </c>
      <c r="W14" s="645">
        <v>0</v>
      </c>
      <c r="X14" s="753">
        <v>0</v>
      </c>
      <c r="Y14" s="589">
        <f>SUM(E14:X14)</f>
        <v>154814</v>
      </c>
      <c r="Z14" s="590"/>
      <c r="AA14" s="645">
        <v>-44946</v>
      </c>
      <c r="AB14" s="645">
        <v>0</v>
      </c>
      <c r="AC14" s="645">
        <v>0</v>
      </c>
      <c r="AD14" s="645">
        <v>0</v>
      </c>
      <c r="AE14" s="645">
        <v>0</v>
      </c>
      <c r="AF14" s="645">
        <v>0</v>
      </c>
      <c r="AG14" s="795">
        <v>0</v>
      </c>
      <c r="AH14" s="645">
        <v>0</v>
      </c>
      <c r="AI14" s="645">
        <v>0</v>
      </c>
      <c r="AJ14" s="645">
        <v>0</v>
      </c>
      <c r="AK14" s="645">
        <v>0</v>
      </c>
      <c r="AL14" s="645">
        <v>0</v>
      </c>
      <c r="AM14" s="645">
        <v>0</v>
      </c>
      <c r="AN14" s="645">
        <v>0</v>
      </c>
      <c r="AO14" s="645">
        <v>0</v>
      </c>
      <c r="AP14" s="823">
        <v>0</v>
      </c>
      <c r="AQ14" s="823">
        <v>0</v>
      </c>
      <c r="AR14" s="823">
        <v>0</v>
      </c>
      <c r="AS14" s="495">
        <v>0</v>
      </c>
      <c r="AT14" s="613">
        <f>SUM(Y14:AS14)</f>
        <v>109868</v>
      </c>
      <c r="AU14" s="590"/>
      <c r="AV14" s="645">
        <v>0</v>
      </c>
      <c r="AW14" s="645">
        <v>0</v>
      </c>
      <c r="AX14" s="795">
        <v>0</v>
      </c>
      <c r="AY14" s="645">
        <v>0</v>
      </c>
      <c r="AZ14" s="645">
        <v>0</v>
      </c>
      <c r="BA14" s="645">
        <v>0</v>
      </c>
      <c r="BB14" s="645">
        <v>0</v>
      </c>
      <c r="BC14" s="645">
        <v>0</v>
      </c>
      <c r="BD14" s="823">
        <v>0</v>
      </c>
      <c r="BE14" s="823">
        <v>0</v>
      </c>
      <c r="BF14" s="893">
        <f>SUM(AT14:BE14)</f>
        <v>109868</v>
      </c>
      <c r="BG14" s="645">
        <f>BF14-AT14</f>
        <v>0</v>
      </c>
      <c r="BH14" s="624"/>
      <c r="BI14" s="624"/>
      <c r="BJ14" s="624"/>
      <c r="BK14" s="624"/>
      <c r="BL14" s="624"/>
      <c r="BM14" s="624"/>
      <c r="BN14" s="624"/>
    </row>
    <row r="15" spans="1:66">
      <c r="A15" s="113">
        <v>2</v>
      </c>
      <c r="B15" s="3" t="s">
        <v>34</v>
      </c>
      <c r="D15" s="3"/>
      <c r="E15" s="211">
        <f>'ROO INPUT 1.00'!$F16</f>
        <v>4817</v>
      </c>
      <c r="F15" s="648">
        <v>0</v>
      </c>
      <c r="G15" s="648">
        <v>0</v>
      </c>
      <c r="H15" s="648">
        <v>0</v>
      </c>
      <c r="I15" s="648">
        <v>-122</v>
      </c>
      <c r="J15" s="648">
        <v>0</v>
      </c>
      <c r="K15" s="648">
        <v>0</v>
      </c>
      <c r="L15" s="648">
        <v>0</v>
      </c>
      <c r="M15" s="648">
        <v>0</v>
      </c>
      <c r="N15" s="648">
        <v>0</v>
      </c>
      <c r="O15" s="648">
        <v>0</v>
      </c>
      <c r="P15" s="648">
        <v>0</v>
      </c>
      <c r="Q15" s="648">
        <v>0</v>
      </c>
      <c r="R15" s="648"/>
      <c r="S15" s="648">
        <v>0</v>
      </c>
      <c r="T15" s="754">
        <v>0</v>
      </c>
      <c r="U15" s="754">
        <v>0</v>
      </c>
      <c r="V15" s="648">
        <v>0</v>
      </c>
      <c r="W15" s="648">
        <v>0</v>
      </c>
      <c r="X15" s="754">
        <v>0</v>
      </c>
      <c r="Y15" s="288">
        <f>SUM(E15:X15)</f>
        <v>4695</v>
      </c>
      <c r="Z15" s="298"/>
      <c r="AA15" s="648">
        <v>296</v>
      </c>
      <c r="AB15" s="648">
        <v>0</v>
      </c>
      <c r="AC15" s="648">
        <v>0</v>
      </c>
      <c r="AD15" s="648">
        <v>0</v>
      </c>
      <c r="AE15" s="648">
        <v>0</v>
      </c>
      <c r="AF15" s="648">
        <v>0</v>
      </c>
      <c r="AG15" s="796">
        <v>0</v>
      </c>
      <c r="AH15" s="648">
        <v>0</v>
      </c>
      <c r="AI15" s="648">
        <v>0</v>
      </c>
      <c r="AJ15" s="648">
        <v>0</v>
      </c>
      <c r="AK15" s="648">
        <v>0</v>
      </c>
      <c r="AL15" s="648">
        <v>0</v>
      </c>
      <c r="AM15" s="648">
        <v>0</v>
      </c>
      <c r="AN15" s="648">
        <v>0</v>
      </c>
      <c r="AO15" s="648">
        <v>0</v>
      </c>
      <c r="AP15" s="703">
        <v>0</v>
      </c>
      <c r="AQ15" s="703">
        <v>0</v>
      </c>
      <c r="AR15" s="703">
        <v>0</v>
      </c>
      <c r="AS15" s="496">
        <v>0</v>
      </c>
      <c r="AT15" s="614">
        <f>SUM(Y15:AS15)</f>
        <v>4991</v>
      </c>
      <c r="AU15" s="298"/>
      <c r="AV15" s="648">
        <v>0</v>
      </c>
      <c r="AW15" s="648">
        <v>0</v>
      </c>
      <c r="AX15" s="796">
        <v>0</v>
      </c>
      <c r="AY15" s="648">
        <v>0</v>
      </c>
      <c r="AZ15" s="648">
        <v>0</v>
      </c>
      <c r="BA15" s="648">
        <v>0</v>
      </c>
      <c r="BB15" s="648">
        <v>0</v>
      </c>
      <c r="BC15" s="648">
        <v>0</v>
      </c>
      <c r="BD15" s="703">
        <v>0</v>
      </c>
      <c r="BE15" s="703">
        <v>0</v>
      </c>
      <c r="BF15" s="894">
        <f>SUM(AT15:BE15)</f>
        <v>4991</v>
      </c>
      <c r="BG15" s="646">
        <f>BF15-AT15</f>
        <v>0</v>
      </c>
    </row>
    <row r="16" spans="1:66">
      <c r="A16" s="113">
        <v>3</v>
      </c>
      <c r="B16" s="3" t="s">
        <v>35</v>
      </c>
      <c r="D16" s="3"/>
      <c r="E16" s="213">
        <f>'ROO INPUT 1.00'!$F17</f>
        <v>48647</v>
      </c>
      <c r="F16" s="702">
        <v>0</v>
      </c>
      <c r="G16" s="702">
        <v>0</v>
      </c>
      <c r="H16" s="702">
        <v>0</v>
      </c>
      <c r="I16" s="702">
        <v>0</v>
      </c>
      <c r="J16" s="702">
        <v>0</v>
      </c>
      <c r="K16" s="702">
        <v>0</v>
      </c>
      <c r="L16" s="702">
        <v>0</v>
      </c>
      <c r="M16" s="702">
        <v>0</v>
      </c>
      <c r="N16" s="702">
        <v>0</v>
      </c>
      <c r="O16" s="702">
        <v>0</v>
      </c>
      <c r="P16" s="702">
        <v>0</v>
      </c>
      <c r="Q16" s="702">
        <v>0</v>
      </c>
      <c r="R16" s="702">
        <v>-4812</v>
      </c>
      <c r="S16" s="702">
        <v>-44262</v>
      </c>
      <c r="T16" s="755">
        <v>0</v>
      </c>
      <c r="U16" s="755">
        <v>0</v>
      </c>
      <c r="V16" s="702">
        <v>0</v>
      </c>
      <c r="W16" s="702">
        <v>0</v>
      </c>
      <c r="X16" s="755">
        <v>0</v>
      </c>
      <c r="Y16" s="552">
        <f>SUM(E16:X16)</f>
        <v>-427</v>
      </c>
      <c r="Z16" s="298"/>
      <c r="AA16" s="702">
        <v>907</v>
      </c>
      <c r="AB16" s="702">
        <v>0</v>
      </c>
      <c r="AC16" s="702">
        <v>0</v>
      </c>
      <c r="AD16" s="702">
        <v>0</v>
      </c>
      <c r="AE16" s="702">
        <v>0</v>
      </c>
      <c r="AF16" s="702">
        <v>0</v>
      </c>
      <c r="AG16" s="797">
        <v>0</v>
      </c>
      <c r="AH16" s="702">
        <v>0</v>
      </c>
      <c r="AI16" s="702">
        <v>0</v>
      </c>
      <c r="AJ16" s="702">
        <v>0</v>
      </c>
      <c r="AK16" s="702">
        <v>0</v>
      </c>
      <c r="AL16" s="702">
        <v>0</v>
      </c>
      <c r="AM16" s="702">
        <v>0</v>
      </c>
      <c r="AN16" s="702">
        <v>0</v>
      </c>
      <c r="AO16" s="702">
        <v>0</v>
      </c>
      <c r="AP16" s="702">
        <v>0</v>
      </c>
      <c r="AQ16" s="702">
        <v>0</v>
      </c>
      <c r="AR16" s="702">
        <v>3391</v>
      </c>
      <c r="AS16" s="497">
        <v>0</v>
      </c>
      <c r="AT16" s="615">
        <f>SUM(Y16:AS16)</f>
        <v>3871</v>
      </c>
      <c r="AU16" s="298"/>
      <c r="AV16" s="702">
        <v>0</v>
      </c>
      <c r="AW16" s="702">
        <v>0</v>
      </c>
      <c r="AX16" s="797">
        <v>0</v>
      </c>
      <c r="AY16" s="702">
        <v>0</v>
      </c>
      <c r="AZ16" s="702">
        <v>0</v>
      </c>
      <c r="BA16" s="702">
        <v>0</v>
      </c>
      <c r="BB16" s="702">
        <v>0</v>
      </c>
      <c r="BC16" s="702">
        <v>0</v>
      </c>
      <c r="BD16" s="702">
        <v>0</v>
      </c>
      <c r="BE16" s="702">
        <f>4748-AR16</f>
        <v>1357</v>
      </c>
      <c r="BF16" s="895">
        <f>SUM(AT16:BE16)</f>
        <v>5228</v>
      </c>
      <c r="BG16" s="647">
        <f>BF16-AT16</f>
        <v>1357</v>
      </c>
    </row>
    <row r="17" spans="1:66">
      <c r="A17" s="113">
        <v>4</v>
      </c>
      <c r="B17" s="1" t="s">
        <v>36</v>
      </c>
      <c r="C17" s="3"/>
      <c r="D17" s="3"/>
      <c r="E17" s="211">
        <f>SUM(E14:E16)</f>
        <v>209994</v>
      </c>
      <c r="F17" s="253">
        <f t="shared" ref="F17:N17" si="21">SUM(F14:F16)</f>
        <v>0</v>
      </c>
      <c r="G17" s="253">
        <f t="shared" si="21"/>
        <v>0</v>
      </c>
      <c r="H17" s="253">
        <f t="shared" si="21"/>
        <v>0</v>
      </c>
      <c r="I17" s="253">
        <f t="shared" si="21"/>
        <v>-5539</v>
      </c>
      <c r="J17" s="253">
        <f>SUM(J14:J16)</f>
        <v>0</v>
      </c>
      <c r="K17" s="253">
        <f t="shared" si="21"/>
        <v>0</v>
      </c>
      <c r="L17" s="253">
        <f t="shared" si="21"/>
        <v>0</v>
      </c>
      <c r="M17" s="253">
        <f t="shared" si="21"/>
        <v>0</v>
      </c>
      <c r="N17" s="253">
        <f t="shared" si="21"/>
        <v>0</v>
      </c>
      <c r="O17" s="253">
        <f t="shared" ref="O17:P17" si="22">SUM(O14:O16)</f>
        <v>0</v>
      </c>
      <c r="P17" s="253">
        <f t="shared" si="22"/>
        <v>0</v>
      </c>
      <c r="Q17" s="253">
        <f t="shared" ref="Q17" si="23">SUM(Q14:Q16)</f>
        <v>0</v>
      </c>
      <c r="R17" s="253">
        <f>SUM(R14:R16)</f>
        <v>3467</v>
      </c>
      <c r="S17" s="253">
        <f>SUM(S14:S16)</f>
        <v>-48840</v>
      </c>
      <c r="T17" s="756">
        <f t="shared" ref="T17" si="24">SUM(T14:T16)</f>
        <v>0</v>
      </c>
      <c r="U17" s="756">
        <f>SUM(U14:U16)</f>
        <v>0</v>
      </c>
      <c r="V17" s="253">
        <f t="shared" ref="V17" si="25">SUM(V14:V16)</f>
        <v>0</v>
      </c>
      <c r="W17" s="253">
        <f>SUM(W14:W16)</f>
        <v>0</v>
      </c>
      <c r="X17" s="756">
        <f>SUM(X14:X16)</f>
        <v>0</v>
      </c>
      <c r="Y17" s="288">
        <f>SUM(Y14:Y16)</f>
        <v>159082</v>
      </c>
      <c r="Z17" s="298"/>
      <c r="AA17" s="253">
        <f>SUM(AA14:AA16)</f>
        <v>-43743</v>
      </c>
      <c r="AB17" s="253">
        <f>SUM(AB14:AB16)</f>
        <v>0</v>
      </c>
      <c r="AC17" s="253">
        <f>SUM(AC14:AC16)</f>
        <v>0</v>
      </c>
      <c r="AD17" s="253">
        <f t="shared" ref="AD17" si="26">SUM(AD14:AD16)</f>
        <v>0</v>
      </c>
      <c r="AE17" s="253">
        <f>SUM(AE14:AE16)</f>
        <v>0</v>
      </c>
      <c r="AF17" s="253">
        <f>SUM(AF14:AF16)</f>
        <v>0</v>
      </c>
      <c r="AG17" s="173">
        <f>SUM(AG14:AG16)</f>
        <v>0</v>
      </c>
      <c r="AH17" s="253">
        <f t="shared" ref="AH17:AL17" si="27">SUM(AH14:AH16)</f>
        <v>0</v>
      </c>
      <c r="AI17" s="253">
        <f t="shared" si="27"/>
        <v>0</v>
      </c>
      <c r="AJ17" s="253">
        <f t="shared" ref="AJ17" si="28">SUM(AJ14:AJ16)</f>
        <v>0</v>
      </c>
      <c r="AK17" s="253">
        <f t="shared" ref="AK17" si="29">SUM(AK14:AK16)</f>
        <v>0</v>
      </c>
      <c r="AL17" s="253">
        <f t="shared" si="27"/>
        <v>0</v>
      </c>
      <c r="AM17" s="253">
        <f>SUM(AM14:AM16)</f>
        <v>0</v>
      </c>
      <c r="AN17" s="253">
        <f t="shared" ref="AN17" si="30">SUM(AN14:AN16)</f>
        <v>0</v>
      </c>
      <c r="AO17" s="253">
        <f>SUM(AO14:AO16)</f>
        <v>0</v>
      </c>
      <c r="AP17" s="445">
        <f>SUM(AP14:AP16)</f>
        <v>0</v>
      </c>
      <c r="AQ17" s="445">
        <f>SUM(AQ14:AQ16)</f>
        <v>0</v>
      </c>
      <c r="AR17" s="445">
        <f>SUM(AR14:AR16)</f>
        <v>3391</v>
      </c>
      <c r="AS17" s="498">
        <f t="shared" ref="AS17" si="31">SUM(AS14:AS16)</f>
        <v>0</v>
      </c>
      <c r="AT17" s="614">
        <f t="shared" ref="AT17" si="32">SUM(AT14:AT16)</f>
        <v>118730</v>
      </c>
      <c r="AU17" s="298"/>
      <c r="AV17" s="253">
        <f>SUM(AV14:AV16)</f>
        <v>0</v>
      </c>
      <c r="AW17" s="253">
        <f t="shared" ref="AW17" si="33">SUM(AW14:AW16)</f>
        <v>0</v>
      </c>
      <c r="AX17" s="173">
        <f>SUM(AX14:AX16)</f>
        <v>0</v>
      </c>
      <c r="AY17" s="253">
        <f t="shared" ref="AY17:BA17" si="34">SUM(AY14:AY16)</f>
        <v>0</v>
      </c>
      <c r="AZ17" s="253">
        <f>SUM(AZ14:AZ16)</f>
        <v>0</v>
      </c>
      <c r="BA17" s="253">
        <f t="shared" si="34"/>
        <v>0</v>
      </c>
      <c r="BB17" s="253">
        <f>SUM(BB14:BB16)</f>
        <v>0</v>
      </c>
      <c r="BC17" s="253">
        <f t="shared" ref="BC17" si="35">SUM(BC14:BC16)</f>
        <v>0</v>
      </c>
      <c r="BD17" s="445">
        <f>SUM(BD14:BD16)</f>
        <v>0</v>
      </c>
      <c r="BE17" s="445">
        <f>SUM(BE14:BE16)</f>
        <v>1357</v>
      </c>
      <c r="BF17" s="896">
        <f>SUM(BF14:BF16)</f>
        <v>120087</v>
      </c>
      <c r="BG17" s="253">
        <f>SUM(BG14:BG16)</f>
        <v>1357</v>
      </c>
    </row>
    <row r="18" spans="1:66" ht="7.5" customHeight="1">
      <c r="C18" s="3"/>
      <c r="D18" s="3"/>
      <c r="E18" s="211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754"/>
      <c r="U18" s="754"/>
      <c r="V18" s="648"/>
      <c r="W18" s="648"/>
      <c r="X18" s="754"/>
      <c r="Y18" s="288"/>
      <c r="Z18" s="298"/>
      <c r="AA18" s="648"/>
      <c r="AB18" s="648"/>
      <c r="AC18" s="648"/>
      <c r="AD18" s="648"/>
      <c r="AE18" s="648"/>
      <c r="AF18" s="648"/>
      <c r="AG18" s="796"/>
      <c r="AH18" s="648"/>
      <c r="AI18" s="648"/>
      <c r="AJ18" s="648"/>
      <c r="AK18" s="648"/>
      <c r="AL18" s="648"/>
      <c r="AM18" s="648"/>
      <c r="AN18" s="648"/>
      <c r="AO18" s="648"/>
      <c r="AP18" s="703"/>
      <c r="AQ18" s="703"/>
      <c r="AR18" s="703"/>
      <c r="AS18" s="496"/>
      <c r="AT18" s="614"/>
      <c r="AU18" s="298"/>
      <c r="AV18" s="648"/>
      <c r="AW18" s="648"/>
      <c r="AX18" s="796"/>
      <c r="AY18" s="648"/>
      <c r="AZ18" s="648"/>
      <c r="BA18" s="648"/>
      <c r="BB18" s="648"/>
      <c r="BC18" s="648"/>
      <c r="BD18" s="703"/>
      <c r="BE18" s="703"/>
      <c r="BF18" s="897"/>
      <c r="BG18" s="648"/>
    </row>
    <row r="19" spans="1:66" s="286" customFormat="1">
      <c r="A19" s="242"/>
      <c r="B19" s="286" t="s">
        <v>37</v>
      </c>
      <c r="C19" s="252"/>
      <c r="D19" s="252"/>
      <c r="E19" s="253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754"/>
      <c r="U19" s="754"/>
      <c r="V19" s="648"/>
      <c r="W19" s="648"/>
      <c r="X19" s="754"/>
      <c r="Y19" s="288"/>
      <c r="Z19" s="298"/>
      <c r="AA19" s="648"/>
      <c r="AB19" s="648"/>
      <c r="AC19" s="648"/>
      <c r="AD19" s="648"/>
      <c r="AE19" s="648"/>
      <c r="AF19" s="648"/>
      <c r="AG19" s="796"/>
      <c r="AH19" s="648"/>
      <c r="AI19" s="648"/>
      <c r="AJ19" s="648"/>
      <c r="AK19" s="648"/>
      <c r="AL19" s="648"/>
      <c r="AM19" s="648"/>
      <c r="AN19" s="648"/>
      <c r="AO19" s="648"/>
      <c r="AP19" s="703"/>
      <c r="AQ19" s="703"/>
      <c r="AR19" s="703"/>
      <c r="AS19" s="496"/>
      <c r="AT19" s="614"/>
      <c r="AU19" s="298"/>
      <c r="AV19" s="648"/>
      <c r="AW19" s="648"/>
      <c r="AX19" s="796"/>
      <c r="AY19" s="648"/>
      <c r="AZ19" s="648"/>
      <c r="BA19" s="648"/>
      <c r="BB19" s="648"/>
      <c r="BC19" s="648"/>
      <c r="BD19" s="703"/>
      <c r="BE19" s="703"/>
      <c r="BF19" s="897"/>
      <c r="BG19" s="648"/>
      <c r="BH19" s="344"/>
      <c r="BI19" s="344"/>
      <c r="BJ19" s="344"/>
      <c r="BK19" s="344"/>
      <c r="BL19" s="344"/>
      <c r="BM19" s="344"/>
      <c r="BN19" s="344"/>
    </row>
    <row r="20" spans="1:66" s="286" customFormat="1">
      <c r="A20" s="242"/>
      <c r="B20" s="252" t="s">
        <v>196</v>
      </c>
      <c r="D20" s="252"/>
      <c r="E20" s="253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754"/>
      <c r="U20" s="754"/>
      <c r="V20" s="648"/>
      <c r="W20" s="648"/>
      <c r="X20" s="754"/>
      <c r="Y20" s="288"/>
      <c r="Z20" s="298"/>
      <c r="AA20" s="648"/>
      <c r="AB20" s="648"/>
      <c r="AC20" s="648"/>
      <c r="AD20" s="648"/>
      <c r="AE20" s="648"/>
      <c r="AF20" s="648"/>
      <c r="AG20" s="796"/>
      <c r="AH20" s="648"/>
      <c r="AI20" s="648"/>
      <c r="AJ20" s="648"/>
      <c r="AK20" s="648"/>
      <c r="AL20" s="648"/>
      <c r="AM20" s="648"/>
      <c r="AN20" s="648"/>
      <c r="AO20" s="648"/>
      <c r="AP20" s="703"/>
      <c r="AQ20" s="703"/>
      <c r="AR20" s="703"/>
      <c r="AS20" s="496"/>
      <c r="AT20" s="614"/>
      <c r="AU20" s="298"/>
      <c r="AV20" s="648"/>
      <c r="AW20" s="648"/>
      <c r="AX20" s="796"/>
      <c r="AY20" s="648"/>
      <c r="AZ20" s="648"/>
      <c r="BA20" s="648"/>
      <c r="BB20" s="648"/>
      <c r="BC20" s="648"/>
      <c r="BD20" s="703"/>
      <c r="BE20" s="703"/>
      <c r="BF20" s="897"/>
      <c r="BG20" s="648"/>
      <c r="BH20" s="344"/>
      <c r="BI20" s="344"/>
      <c r="BJ20" s="344"/>
      <c r="BK20" s="344"/>
      <c r="BL20" s="344"/>
      <c r="BM20" s="344"/>
      <c r="BN20" s="344"/>
    </row>
    <row r="21" spans="1:66" s="286" customFormat="1">
      <c r="A21" s="242">
        <v>5</v>
      </c>
      <c r="C21" s="252" t="s">
        <v>38</v>
      </c>
      <c r="D21" s="252"/>
      <c r="E21" s="253">
        <f>'ROO INPUT 1.00'!$F22</f>
        <v>96285</v>
      </c>
      <c r="F21" s="648">
        <v>0</v>
      </c>
      <c r="G21" s="648">
        <v>0</v>
      </c>
      <c r="H21" s="648">
        <v>0</v>
      </c>
      <c r="I21" s="648">
        <v>0</v>
      </c>
      <c r="J21" s="648">
        <v>0</v>
      </c>
      <c r="K21" s="648">
        <v>0</v>
      </c>
      <c r="L21" s="648">
        <v>0</v>
      </c>
      <c r="M21" s="648">
        <v>0</v>
      </c>
      <c r="N21" s="648">
        <v>0</v>
      </c>
      <c r="O21" s="648">
        <v>0</v>
      </c>
      <c r="P21" s="648">
        <v>0</v>
      </c>
      <c r="Q21" s="648">
        <v>0</v>
      </c>
      <c r="R21" s="648">
        <v>3102</v>
      </c>
      <c r="S21" s="648">
        <v>-48898</v>
      </c>
      <c r="T21" s="754">
        <v>0</v>
      </c>
      <c r="U21" s="754">
        <v>0</v>
      </c>
      <c r="V21" s="648">
        <v>0</v>
      </c>
      <c r="W21" s="648">
        <v>0</v>
      </c>
      <c r="X21" s="754">
        <v>0</v>
      </c>
      <c r="Y21" s="288">
        <f>SUM(E21:X21)</f>
        <v>50489</v>
      </c>
      <c r="Z21" s="298"/>
      <c r="AA21" s="648">
        <v>-50489</v>
      </c>
      <c r="AB21" s="648">
        <v>0</v>
      </c>
      <c r="AC21" s="648">
        <v>0</v>
      </c>
      <c r="AD21" s="648">
        <v>0</v>
      </c>
      <c r="AE21" s="648">
        <v>0</v>
      </c>
      <c r="AF21" s="648">
        <v>0</v>
      </c>
      <c r="AG21" s="796">
        <v>0</v>
      </c>
      <c r="AH21" s="648">
        <v>0</v>
      </c>
      <c r="AI21" s="648">
        <v>0</v>
      </c>
      <c r="AJ21" s="648">
        <v>0</v>
      </c>
      <c r="AK21" s="648">
        <v>0</v>
      </c>
      <c r="AL21" s="648">
        <v>0</v>
      </c>
      <c r="AM21" s="648">
        <v>0</v>
      </c>
      <c r="AN21" s="648">
        <v>0</v>
      </c>
      <c r="AO21" s="648">
        <v>0</v>
      </c>
      <c r="AP21" s="703">
        <v>0</v>
      </c>
      <c r="AQ21" s="703">
        <v>0</v>
      </c>
      <c r="AR21" s="703">
        <v>0</v>
      </c>
      <c r="AS21" s="496">
        <v>0</v>
      </c>
      <c r="AT21" s="614">
        <f>SUM(Y21:AS21)</f>
        <v>0</v>
      </c>
      <c r="AU21" s="298"/>
      <c r="AV21" s="648">
        <v>0</v>
      </c>
      <c r="AW21" s="648">
        <v>0</v>
      </c>
      <c r="AX21" s="796">
        <v>0</v>
      </c>
      <c r="AY21" s="648">
        <v>0</v>
      </c>
      <c r="AZ21" s="648">
        <v>0</v>
      </c>
      <c r="BA21" s="648">
        <v>0</v>
      </c>
      <c r="BB21" s="648">
        <v>0</v>
      </c>
      <c r="BC21" s="648">
        <v>0</v>
      </c>
      <c r="BD21" s="703">
        <v>0</v>
      </c>
      <c r="BE21" s="703">
        <v>0</v>
      </c>
      <c r="BF21" s="894">
        <f>SUM(AT21:BE21)</f>
        <v>0</v>
      </c>
      <c r="BG21" s="646">
        <f>BF21-AT21</f>
        <v>0</v>
      </c>
      <c r="BH21" s="344"/>
      <c r="BI21" s="344"/>
      <c r="BJ21" s="344"/>
      <c r="BK21" s="344"/>
      <c r="BL21" s="344"/>
      <c r="BM21" s="344"/>
      <c r="BN21" s="344"/>
    </row>
    <row r="22" spans="1:66" s="286" customFormat="1">
      <c r="A22" s="242">
        <v>6</v>
      </c>
      <c r="C22" s="252" t="s">
        <v>39</v>
      </c>
      <c r="D22" s="252"/>
      <c r="E22" s="253">
        <f>'ROO INPUT 1.00'!$F23</f>
        <v>762</v>
      </c>
      <c r="F22" s="648">
        <v>0</v>
      </c>
      <c r="G22" s="648">
        <v>0</v>
      </c>
      <c r="H22" s="648">
        <v>0</v>
      </c>
      <c r="I22" s="648">
        <v>0</v>
      </c>
      <c r="J22" s="648">
        <v>0</v>
      </c>
      <c r="K22" s="648">
        <v>0</v>
      </c>
      <c r="L22" s="648">
        <v>0</v>
      </c>
      <c r="M22" s="648">
        <v>0</v>
      </c>
      <c r="N22" s="648">
        <v>0</v>
      </c>
      <c r="O22" s="648">
        <v>0</v>
      </c>
      <c r="P22" s="648">
        <v>0</v>
      </c>
      <c r="Q22" s="648">
        <v>0</v>
      </c>
      <c r="R22" s="648">
        <v>2</v>
      </c>
      <c r="S22" s="648">
        <v>0</v>
      </c>
      <c r="T22" s="754">
        <v>0</v>
      </c>
      <c r="U22" s="754">
        <v>0</v>
      </c>
      <c r="V22" s="648">
        <v>0</v>
      </c>
      <c r="W22" s="648">
        <v>0</v>
      </c>
      <c r="X22" s="754">
        <v>0</v>
      </c>
      <c r="Y22" s="288">
        <f>SUM(E22:X22)</f>
        <v>764</v>
      </c>
      <c r="Z22" s="298"/>
      <c r="AA22" s="648">
        <v>0</v>
      </c>
      <c r="AB22" s="648">
        <v>0</v>
      </c>
      <c r="AC22" s="648">
        <v>0</v>
      </c>
      <c r="AD22" s="648">
        <v>0</v>
      </c>
      <c r="AE22" s="648">
        <v>0</v>
      </c>
      <c r="AF22" s="648">
        <v>0</v>
      </c>
      <c r="AG22" s="796">
        <f>44</f>
        <v>44</v>
      </c>
      <c r="AH22" s="648">
        <v>0</v>
      </c>
      <c r="AI22" s="648">
        <v>-4</v>
      </c>
      <c r="AJ22" s="648"/>
      <c r="AK22" s="648">
        <v>0</v>
      </c>
      <c r="AL22" s="648">
        <v>0</v>
      </c>
      <c r="AM22" s="648">
        <v>0</v>
      </c>
      <c r="AN22" s="648">
        <f>12926/1000</f>
        <v>12.926</v>
      </c>
      <c r="AO22" s="648">
        <v>0</v>
      </c>
      <c r="AP22" s="703">
        <v>0</v>
      </c>
      <c r="AQ22" s="703">
        <v>0</v>
      </c>
      <c r="AR22" s="703">
        <v>0</v>
      </c>
      <c r="AS22" s="496">
        <v>0</v>
      </c>
      <c r="AT22" s="614">
        <f>SUM(Y22:AS22)</f>
        <v>816.92600000000004</v>
      </c>
      <c r="AU22" s="298"/>
      <c r="AV22" s="648">
        <v>0</v>
      </c>
      <c r="AW22" s="648">
        <v>0</v>
      </c>
      <c r="AX22" s="796">
        <v>18</v>
      </c>
      <c r="AY22" s="648">
        <v>4</v>
      </c>
      <c r="AZ22" s="648">
        <v>0</v>
      </c>
      <c r="BA22" s="648">
        <v>0</v>
      </c>
      <c r="BB22" s="648">
        <v>0</v>
      </c>
      <c r="BC22" s="648">
        <f>5745/1000</f>
        <v>5.7450000000000001</v>
      </c>
      <c r="BD22" s="703">
        <v>0</v>
      </c>
      <c r="BE22" s="703">
        <v>0</v>
      </c>
      <c r="BF22" s="894">
        <f>SUM(AT22:BE22)</f>
        <v>844.67100000000005</v>
      </c>
      <c r="BG22" s="646">
        <f>BF22-AT22</f>
        <v>27.745000000000005</v>
      </c>
      <c r="BH22" s="344"/>
      <c r="BI22" s="344"/>
      <c r="BJ22" s="344"/>
      <c r="BK22" s="344"/>
      <c r="BL22" s="344"/>
      <c r="BM22" s="344"/>
      <c r="BN22" s="344"/>
    </row>
    <row r="23" spans="1:66" s="286" customFormat="1">
      <c r="A23" s="242">
        <v>7</v>
      </c>
      <c r="C23" s="252" t="s">
        <v>40</v>
      </c>
      <c r="D23" s="252"/>
      <c r="E23" s="214">
        <f>'ROO INPUT 1.00'!$F24</f>
        <v>-6010</v>
      </c>
      <c r="F23" s="702">
        <v>0</v>
      </c>
      <c r="G23" s="702">
        <v>0</v>
      </c>
      <c r="H23" s="702">
        <v>0</v>
      </c>
      <c r="I23" s="702">
        <v>0</v>
      </c>
      <c r="J23" s="702">
        <v>0</v>
      </c>
      <c r="K23" s="702">
        <v>0</v>
      </c>
      <c r="L23" s="702">
        <v>0</v>
      </c>
      <c r="M23" s="702">
        <v>0</v>
      </c>
      <c r="N23" s="702">
        <v>0</v>
      </c>
      <c r="O23" s="702">
        <v>0</v>
      </c>
      <c r="P23" s="702">
        <v>0</v>
      </c>
      <c r="Q23" s="702">
        <v>0</v>
      </c>
      <c r="R23" s="702">
        <v>0</v>
      </c>
      <c r="S23" s="702">
        <v>6010</v>
      </c>
      <c r="T23" s="755">
        <v>0</v>
      </c>
      <c r="U23" s="755">
        <v>0</v>
      </c>
      <c r="V23" s="702">
        <v>0</v>
      </c>
      <c r="W23" s="702">
        <v>0</v>
      </c>
      <c r="X23" s="755">
        <v>0</v>
      </c>
      <c r="Y23" s="552">
        <f>SUM(E23:X23)</f>
        <v>0</v>
      </c>
      <c r="Z23" s="298"/>
      <c r="AA23" s="702">
        <v>0</v>
      </c>
      <c r="AB23" s="702">
        <v>0</v>
      </c>
      <c r="AC23" s="702">
        <v>0</v>
      </c>
      <c r="AD23" s="702">
        <v>0</v>
      </c>
      <c r="AE23" s="702">
        <v>0</v>
      </c>
      <c r="AF23" s="702">
        <v>0</v>
      </c>
      <c r="AG23" s="797"/>
      <c r="AH23" s="702">
        <v>0</v>
      </c>
      <c r="AI23" s="702">
        <v>0</v>
      </c>
      <c r="AJ23" s="702">
        <v>0</v>
      </c>
      <c r="AK23" s="702">
        <v>0</v>
      </c>
      <c r="AL23" s="702">
        <v>0</v>
      </c>
      <c r="AM23" s="702">
        <v>0</v>
      </c>
      <c r="AN23" s="702">
        <v>0</v>
      </c>
      <c r="AO23" s="702">
        <v>0</v>
      </c>
      <c r="AP23" s="702">
        <v>0</v>
      </c>
      <c r="AQ23" s="702">
        <v>0</v>
      </c>
      <c r="AR23" s="702">
        <v>0</v>
      </c>
      <c r="AS23" s="497">
        <v>0</v>
      </c>
      <c r="AT23" s="615">
        <f>SUM(Y23:AS23)</f>
        <v>0</v>
      </c>
      <c r="AU23" s="298"/>
      <c r="AV23" s="702">
        <v>0</v>
      </c>
      <c r="AW23" s="702">
        <v>0</v>
      </c>
      <c r="AX23" s="797"/>
      <c r="AY23" s="702">
        <v>0</v>
      </c>
      <c r="AZ23" s="702">
        <v>0</v>
      </c>
      <c r="BA23" s="702">
        <v>0</v>
      </c>
      <c r="BB23" s="702">
        <v>0</v>
      </c>
      <c r="BC23" s="702">
        <v>0</v>
      </c>
      <c r="BD23" s="702">
        <v>0</v>
      </c>
      <c r="BE23" s="702">
        <v>0</v>
      </c>
      <c r="BF23" s="895">
        <f>SUM(AT23:BE23)</f>
        <v>0</v>
      </c>
      <c r="BG23" s="647">
        <f>BF23-AT23</f>
        <v>0</v>
      </c>
      <c r="BH23" s="344"/>
      <c r="BI23" s="344"/>
      <c r="BJ23" s="344"/>
      <c r="BK23" s="344"/>
      <c r="BL23" s="344"/>
      <c r="BM23" s="344"/>
      <c r="BN23" s="344"/>
    </row>
    <row r="24" spans="1:66" s="286" customFormat="1">
      <c r="A24" s="242">
        <v>8</v>
      </c>
      <c r="B24" s="252" t="s">
        <v>41</v>
      </c>
      <c r="C24" s="252"/>
      <c r="E24" s="253">
        <f>SUM(E21:E23)</f>
        <v>91037</v>
      </c>
      <c r="F24" s="253">
        <f t="shared" ref="F24:N24" si="36">SUM(F21:F23)</f>
        <v>0</v>
      </c>
      <c r="G24" s="253">
        <f t="shared" si="36"/>
        <v>0</v>
      </c>
      <c r="H24" s="253">
        <f t="shared" si="36"/>
        <v>0</v>
      </c>
      <c r="I24" s="253">
        <f t="shared" si="36"/>
        <v>0</v>
      </c>
      <c r="J24" s="253">
        <f>SUM(J21:J23)</f>
        <v>0</v>
      </c>
      <c r="K24" s="253">
        <f t="shared" si="36"/>
        <v>0</v>
      </c>
      <c r="L24" s="253">
        <f t="shared" si="36"/>
        <v>0</v>
      </c>
      <c r="M24" s="253">
        <f t="shared" si="36"/>
        <v>0</v>
      </c>
      <c r="N24" s="253">
        <f t="shared" si="36"/>
        <v>0</v>
      </c>
      <c r="O24" s="253">
        <f t="shared" ref="O24:P24" si="37">SUM(O21:O23)</f>
        <v>0</v>
      </c>
      <c r="P24" s="253">
        <f t="shared" si="37"/>
        <v>0</v>
      </c>
      <c r="Q24" s="253">
        <f>SUM(Q21:Q23)</f>
        <v>0</v>
      </c>
      <c r="R24" s="253">
        <f>SUM(R21:R23)</f>
        <v>3104</v>
      </c>
      <c r="S24" s="253">
        <f>SUM(S21:S23)</f>
        <v>-42888</v>
      </c>
      <c r="T24" s="756">
        <f t="shared" ref="T24" si="38">SUM(T21:T23)</f>
        <v>0</v>
      </c>
      <c r="U24" s="756">
        <f t="shared" ref="U24:AA24" si="39">SUM(U21:U23)</f>
        <v>0</v>
      </c>
      <c r="V24" s="253">
        <f t="shared" si="39"/>
        <v>0</v>
      </c>
      <c r="W24" s="253">
        <f>SUM(W21:W23)</f>
        <v>0</v>
      </c>
      <c r="X24" s="756">
        <f t="shared" ref="X24" si="40">SUM(X21:X23)</f>
        <v>0</v>
      </c>
      <c r="Y24" s="288">
        <f t="shared" si="39"/>
        <v>51253</v>
      </c>
      <c r="Z24" s="298"/>
      <c r="AA24" s="253">
        <f t="shared" si="39"/>
        <v>-50489</v>
      </c>
      <c r="AB24" s="253">
        <f t="shared" ref="AB24" si="41">SUM(AB21:AB23)</f>
        <v>0</v>
      </c>
      <c r="AC24" s="253">
        <f>SUM(AC21:AC23)</f>
        <v>0</v>
      </c>
      <c r="AD24" s="253">
        <f t="shared" ref="AD24" si="42">SUM(AD21:AD23)</f>
        <v>0</v>
      </c>
      <c r="AE24" s="253">
        <f>SUM(AE21:AE23)</f>
        <v>0</v>
      </c>
      <c r="AF24" s="253">
        <f>SUM(AF21:AF23)</f>
        <v>0</v>
      </c>
      <c r="AG24" s="173">
        <f t="shared" ref="AG24" si="43">SUM(AG21:AG23)</f>
        <v>44</v>
      </c>
      <c r="AH24" s="253">
        <f t="shared" ref="AH24" si="44">SUM(AH21:AH23)</f>
        <v>0</v>
      </c>
      <c r="AI24" s="253">
        <f>SUM(AI21:AI23)</f>
        <v>-4</v>
      </c>
      <c r="AJ24" s="253">
        <f>SUM(AJ21:AJ23)</f>
        <v>0</v>
      </c>
      <c r="AK24" s="253">
        <f t="shared" ref="AK24" si="45">SUM(AK21:AK23)</f>
        <v>0</v>
      </c>
      <c r="AL24" s="253">
        <f t="shared" ref="AL24" si="46">SUM(AL21:AL23)</f>
        <v>0</v>
      </c>
      <c r="AM24" s="253">
        <f>SUM(AM21:AM23)</f>
        <v>0</v>
      </c>
      <c r="AN24" s="253">
        <f t="shared" ref="AN24" si="47">SUM(AN21:AN23)</f>
        <v>12.926</v>
      </c>
      <c r="AO24" s="253">
        <f t="shared" ref="AO24" si="48">SUM(AO21:AO23)</f>
        <v>0</v>
      </c>
      <c r="AP24" s="445">
        <f>SUM(AP21:AP23)</f>
        <v>0</v>
      </c>
      <c r="AQ24" s="445">
        <f>SUM(AQ21:AQ23)</f>
        <v>0</v>
      </c>
      <c r="AR24" s="445">
        <f>SUM(AR21:AR23)</f>
        <v>0</v>
      </c>
      <c r="AS24" s="498">
        <f t="shared" ref="AS24" si="49">SUM(AS21:AS23)</f>
        <v>0</v>
      </c>
      <c r="AT24" s="614">
        <f t="shared" ref="AT24" si="50">SUM(AT21:AT23)</f>
        <v>816.92600000000004</v>
      </c>
      <c r="AU24" s="298"/>
      <c r="AV24" s="253">
        <f>SUM(AV21:AV23)</f>
        <v>0</v>
      </c>
      <c r="AW24" s="253">
        <f t="shared" ref="AW24" si="51">SUM(AW21:AW23)</f>
        <v>0</v>
      </c>
      <c r="AX24" s="173">
        <f t="shared" ref="AX24" si="52">SUM(AX21:AX23)</f>
        <v>18</v>
      </c>
      <c r="AY24" s="253">
        <f>SUM(AY21:AY23)</f>
        <v>4</v>
      </c>
      <c r="AZ24" s="253">
        <f>SUM(AZ21:AZ23)</f>
        <v>0</v>
      </c>
      <c r="BA24" s="253">
        <f t="shared" ref="BA24" si="53">SUM(BA21:BA23)</f>
        <v>0</v>
      </c>
      <c r="BB24" s="253">
        <f>SUM(BB21:BB23)</f>
        <v>0</v>
      </c>
      <c r="BC24" s="253">
        <f t="shared" ref="BC24" si="54">SUM(BC21:BC23)</f>
        <v>5.7450000000000001</v>
      </c>
      <c r="BD24" s="445">
        <f>SUM(BD21:BD23)</f>
        <v>0</v>
      </c>
      <c r="BE24" s="445">
        <f>SUM(BE21:BE23)</f>
        <v>0</v>
      </c>
      <c r="BF24" s="896">
        <f>SUM(BF21:BF23)</f>
        <v>844.67100000000005</v>
      </c>
      <c r="BG24" s="253">
        <f>SUM(BG21:BG23)</f>
        <v>27.745000000000005</v>
      </c>
      <c r="BH24" s="344"/>
      <c r="BI24" s="344"/>
      <c r="BJ24" s="344"/>
      <c r="BK24" s="344"/>
      <c r="BL24" s="344"/>
      <c r="BM24" s="344"/>
      <c r="BN24" s="344"/>
    </row>
    <row r="25" spans="1:66" s="286" customFormat="1" ht="9" customHeight="1">
      <c r="A25" s="242"/>
      <c r="B25" s="252"/>
      <c r="C25" s="252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756"/>
      <c r="U25" s="756"/>
      <c r="V25" s="253"/>
      <c r="W25" s="253"/>
      <c r="X25" s="756"/>
      <c r="Y25" s="288"/>
      <c r="Z25" s="298"/>
      <c r="AA25" s="253"/>
      <c r="AB25" s="253"/>
      <c r="AC25" s="253"/>
      <c r="AD25" s="253"/>
      <c r="AE25" s="253"/>
      <c r="AF25" s="253"/>
      <c r="AG25" s="173"/>
      <c r="AH25" s="253"/>
      <c r="AI25" s="253"/>
      <c r="AJ25" s="253"/>
      <c r="AK25" s="253"/>
      <c r="AL25" s="253"/>
      <c r="AM25" s="253"/>
      <c r="AN25" s="253"/>
      <c r="AO25" s="253"/>
      <c r="AP25" s="445"/>
      <c r="AQ25" s="445"/>
      <c r="AR25" s="445"/>
      <c r="AS25" s="498"/>
      <c r="AT25" s="614"/>
      <c r="AU25" s="298"/>
      <c r="AV25" s="253"/>
      <c r="AW25" s="253"/>
      <c r="AX25" s="173"/>
      <c r="AY25" s="253"/>
      <c r="AZ25" s="253"/>
      <c r="BA25" s="253"/>
      <c r="BB25" s="253"/>
      <c r="BC25" s="253"/>
      <c r="BD25" s="445"/>
      <c r="BE25" s="445"/>
      <c r="BF25" s="896"/>
      <c r="BG25" s="253"/>
      <c r="BH25" s="344"/>
      <c r="BI25" s="344"/>
      <c r="BJ25" s="344"/>
      <c r="BK25" s="344"/>
      <c r="BL25" s="344"/>
      <c r="BM25" s="344"/>
      <c r="BN25" s="344"/>
    </row>
    <row r="26" spans="1:66" s="286" customFormat="1">
      <c r="A26" s="242"/>
      <c r="B26" s="252" t="s">
        <v>42</v>
      </c>
      <c r="D26" s="252"/>
      <c r="E26" s="253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754"/>
      <c r="U26" s="754"/>
      <c r="V26" s="648"/>
      <c r="W26" s="648"/>
      <c r="X26" s="754"/>
      <c r="Y26" s="288"/>
      <c r="Z26" s="298"/>
      <c r="AA26" s="648"/>
      <c r="AB26" s="648"/>
      <c r="AC26" s="648"/>
      <c r="AD26" s="648"/>
      <c r="AE26" s="648"/>
      <c r="AF26" s="648"/>
      <c r="AG26" s="796"/>
      <c r="AH26" s="648"/>
      <c r="AI26" s="648"/>
      <c r="AJ26" s="648"/>
      <c r="AK26" s="648"/>
      <c r="AL26" s="648"/>
      <c r="AM26" s="648"/>
      <c r="AN26" s="648"/>
      <c r="AO26" s="648"/>
      <c r="AP26" s="703"/>
      <c r="AQ26" s="703"/>
      <c r="AR26" s="703"/>
      <c r="AS26" s="496"/>
      <c r="AT26" s="614"/>
      <c r="AU26" s="298"/>
      <c r="AV26" s="648"/>
      <c r="AW26" s="648"/>
      <c r="AX26" s="796"/>
      <c r="AY26" s="648"/>
      <c r="AZ26" s="648"/>
      <c r="BA26" s="648"/>
      <c r="BB26" s="648"/>
      <c r="BC26" s="648"/>
      <c r="BD26" s="703"/>
      <c r="BE26" s="703"/>
      <c r="BF26" s="897"/>
      <c r="BG26" s="648"/>
      <c r="BH26" s="344"/>
      <c r="BI26" s="344"/>
      <c r="BJ26" s="344"/>
      <c r="BK26" s="344"/>
      <c r="BL26" s="344"/>
      <c r="BM26" s="344"/>
      <c r="BN26" s="344"/>
    </row>
    <row r="27" spans="1:66" s="286" customFormat="1">
      <c r="A27" s="242">
        <v>9</v>
      </c>
      <c r="C27" s="252" t="s">
        <v>43</v>
      </c>
      <c r="D27" s="252"/>
      <c r="E27" s="253">
        <f>'ROO INPUT 1.00'!$F28</f>
        <v>1957</v>
      </c>
      <c r="F27" s="648">
        <v>0</v>
      </c>
      <c r="G27" s="648">
        <v>0</v>
      </c>
      <c r="H27" s="648">
        <v>0</v>
      </c>
      <c r="I27" s="648">
        <v>0</v>
      </c>
      <c r="J27" s="648">
        <v>0</v>
      </c>
      <c r="K27" s="648">
        <v>0</v>
      </c>
      <c r="L27" s="648">
        <v>0</v>
      </c>
      <c r="M27" s="648">
        <v>0</v>
      </c>
      <c r="N27" s="648">
        <v>0</v>
      </c>
      <c r="O27" s="648">
        <v>0</v>
      </c>
      <c r="P27" s="648">
        <v>0</v>
      </c>
      <c r="Q27" s="648">
        <v>0</v>
      </c>
      <c r="R27" s="648">
        <v>0</v>
      </c>
      <c r="S27" s="648">
        <v>0</v>
      </c>
      <c r="T27" s="754">
        <v>0</v>
      </c>
      <c r="U27" s="754">
        <v>0</v>
      </c>
      <c r="V27" s="648">
        <v>0</v>
      </c>
      <c r="W27" s="648">
        <v>0</v>
      </c>
      <c r="X27" s="754">
        <v>0</v>
      </c>
      <c r="Y27" s="288">
        <f>SUM(E27:X27)</f>
        <v>1957</v>
      </c>
      <c r="Z27" s="298"/>
      <c r="AA27" s="648">
        <v>0</v>
      </c>
      <c r="AB27" s="648">
        <v>0</v>
      </c>
      <c r="AC27" s="648">
        <v>0</v>
      </c>
      <c r="AD27" s="648">
        <v>0</v>
      </c>
      <c r="AE27" s="648">
        <v>0</v>
      </c>
      <c r="AF27" s="648">
        <v>0</v>
      </c>
      <c r="AG27" s="796">
        <v>0.3</v>
      </c>
      <c r="AH27" s="648">
        <v>0</v>
      </c>
      <c r="AI27" s="648">
        <v>0</v>
      </c>
      <c r="AJ27" s="648">
        <v>0</v>
      </c>
      <c r="AK27" s="648">
        <v>0</v>
      </c>
      <c r="AL27" s="648">
        <v>0</v>
      </c>
      <c r="AM27" s="648">
        <v>0</v>
      </c>
      <c r="AN27" s="648">
        <f>320246/1000</f>
        <v>320.24599999999998</v>
      </c>
      <c r="AO27" s="648">
        <v>0</v>
      </c>
      <c r="AP27" s="703">
        <v>0</v>
      </c>
      <c r="AQ27" s="703">
        <v>0</v>
      </c>
      <c r="AR27" s="703">
        <v>0</v>
      </c>
      <c r="AS27" s="496">
        <v>0</v>
      </c>
      <c r="AT27" s="614">
        <f>SUM(Y27:AS27)</f>
        <v>2277.5459999999998</v>
      </c>
      <c r="AU27" s="298"/>
      <c r="AV27" s="648">
        <v>0</v>
      </c>
      <c r="AW27" s="648">
        <v>0</v>
      </c>
      <c r="AX27" s="796">
        <v>0.1</v>
      </c>
      <c r="AY27" s="648">
        <v>0</v>
      </c>
      <c r="AZ27" s="648">
        <v>0</v>
      </c>
      <c r="BA27" s="648">
        <v>0</v>
      </c>
      <c r="BB27" s="648">
        <v>0</v>
      </c>
      <c r="BC27" s="648">
        <f>142331/1000</f>
        <v>142.33099999999999</v>
      </c>
      <c r="BD27" s="703">
        <v>0</v>
      </c>
      <c r="BE27" s="703">
        <v>0</v>
      </c>
      <c r="BF27" s="894">
        <f>SUM(AT27:BE27)</f>
        <v>2419.9769999999999</v>
      </c>
      <c r="BG27" s="646">
        <f>BF27-AT27</f>
        <v>142.43100000000004</v>
      </c>
      <c r="BH27" s="344"/>
      <c r="BI27" s="344"/>
      <c r="BJ27" s="344"/>
      <c r="BK27" s="344"/>
      <c r="BL27" s="344"/>
      <c r="BM27" s="344"/>
      <c r="BN27" s="344"/>
    </row>
    <row r="28" spans="1:66" s="286" customFormat="1">
      <c r="A28" s="242">
        <v>10</v>
      </c>
      <c r="C28" s="252" t="s">
        <v>192</v>
      </c>
      <c r="D28" s="252"/>
      <c r="E28" s="253">
        <f>'ROO INPUT 1.00'!$F29</f>
        <v>467</v>
      </c>
      <c r="F28" s="648">
        <v>0</v>
      </c>
      <c r="G28" s="648">
        <v>0</v>
      </c>
      <c r="H28" s="648">
        <v>0</v>
      </c>
      <c r="I28" s="648">
        <v>0</v>
      </c>
      <c r="J28" s="648">
        <v>0</v>
      </c>
      <c r="K28" s="648">
        <v>0</v>
      </c>
      <c r="L28" s="648">
        <v>0</v>
      </c>
      <c r="M28" s="648">
        <v>0</v>
      </c>
      <c r="N28" s="648">
        <v>0</v>
      </c>
      <c r="O28" s="648">
        <v>0</v>
      </c>
      <c r="P28" s="648">
        <v>0</v>
      </c>
      <c r="Q28" s="648">
        <v>0</v>
      </c>
      <c r="R28" s="648">
        <v>0</v>
      </c>
      <c r="S28" s="648">
        <v>0</v>
      </c>
      <c r="T28" s="754">
        <v>0</v>
      </c>
      <c r="U28" s="754">
        <v>0</v>
      </c>
      <c r="V28" s="648">
        <v>0</v>
      </c>
      <c r="W28" s="648">
        <v>0</v>
      </c>
      <c r="X28" s="754">
        <v>0</v>
      </c>
      <c r="Y28" s="288">
        <f>SUM(E28:X28)</f>
        <v>467</v>
      </c>
      <c r="Z28" s="298"/>
      <c r="AA28" s="648">
        <v>0</v>
      </c>
      <c r="AB28" s="648">
        <v>0</v>
      </c>
      <c r="AC28" s="648">
        <v>0</v>
      </c>
      <c r="AD28" s="648">
        <v>0</v>
      </c>
      <c r="AE28" s="648">
        <v>0</v>
      </c>
      <c r="AF28" s="648">
        <v>0</v>
      </c>
      <c r="AG28" s="796">
        <v>0</v>
      </c>
      <c r="AH28" s="648">
        <v>0</v>
      </c>
      <c r="AI28" s="648">
        <v>0</v>
      </c>
      <c r="AJ28" s="648">
        <v>0</v>
      </c>
      <c r="AK28" s="648">
        <v>0</v>
      </c>
      <c r="AL28" s="648">
        <v>0</v>
      </c>
      <c r="AM28" s="648">
        <v>0</v>
      </c>
      <c r="AN28" s="648">
        <v>0</v>
      </c>
      <c r="AO28" s="648">
        <v>7</v>
      </c>
      <c r="AP28" s="703">
        <v>22</v>
      </c>
      <c r="AQ28" s="703">
        <v>21</v>
      </c>
      <c r="AR28" s="703">
        <v>0</v>
      </c>
      <c r="AS28" s="496">
        <v>0</v>
      </c>
      <c r="AT28" s="614">
        <f>SUM(Y28:AS28)</f>
        <v>517</v>
      </c>
      <c r="AU28" s="298"/>
      <c r="AV28" s="648">
        <v>0</v>
      </c>
      <c r="AW28" s="648">
        <v>0</v>
      </c>
      <c r="AX28" s="796">
        <v>0</v>
      </c>
      <c r="AY28" s="648">
        <v>0</v>
      </c>
      <c r="AZ28" s="648">
        <v>0</v>
      </c>
      <c r="BA28" s="648">
        <v>0</v>
      </c>
      <c r="BB28" s="648">
        <v>0</v>
      </c>
      <c r="BC28" s="648">
        <v>0</v>
      </c>
      <c r="BD28" s="703">
        <v>22</v>
      </c>
      <c r="BE28" s="703"/>
      <c r="BF28" s="894">
        <f>SUM(AT28:BE28)</f>
        <v>539</v>
      </c>
      <c r="BG28" s="646">
        <f>BF28-AT28</f>
        <v>22</v>
      </c>
      <c r="BH28" s="344"/>
      <c r="BI28" s="344"/>
      <c r="BJ28" s="344"/>
      <c r="BK28" s="344"/>
      <c r="BL28" s="344"/>
      <c r="BM28" s="344"/>
      <c r="BN28" s="344"/>
    </row>
    <row r="29" spans="1:66" s="286" customFormat="1">
      <c r="A29" s="242">
        <v>11</v>
      </c>
      <c r="C29" s="252" t="s">
        <v>21</v>
      </c>
      <c r="D29" s="252"/>
      <c r="E29" s="214">
        <f>'ROO INPUT 1.00'!$F30</f>
        <v>187</v>
      </c>
      <c r="F29" s="702">
        <v>0</v>
      </c>
      <c r="G29" s="702">
        <v>0</v>
      </c>
      <c r="H29" s="702">
        <v>0</v>
      </c>
      <c r="I29" s="702">
        <v>0</v>
      </c>
      <c r="J29" s="702">
        <v>0</v>
      </c>
      <c r="K29" s="702">
        <v>0</v>
      </c>
      <c r="L29" s="702">
        <v>0</v>
      </c>
      <c r="M29" s="702">
        <v>0</v>
      </c>
      <c r="N29" s="702">
        <v>0</v>
      </c>
      <c r="O29" s="702">
        <v>0</v>
      </c>
      <c r="P29" s="702">
        <v>0</v>
      </c>
      <c r="Q29" s="702">
        <v>0</v>
      </c>
      <c r="R29" s="702">
        <v>0</v>
      </c>
      <c r="S29" s="702">
        <v>0</v>
      </c>
      <c r="T29" s="755">
        <v>0</v>
      </c>
      <c r="U29" s="755">
        <v>0</v>
      </c>
      <c r="V29" s="702">
        <v>0</v>
      </c>
      <c r="W29" s="702">
        <v>0</v>
      </c>
      <c r="X29" s="755">
        <v>0</v>
      </c>
      <c r="Y29" s="552">
        <f>SUM(E29:X29)</f>
        <v>187</v>
      </c>
      <c r="Z29" s="298"/>
      <c r="AA29" s="702">
        <v>0</v>
      </c>
      <c r="AB29" s="702">
        <v>0</v>
      </c>
      <c r="AC29" s="702">
        <v>0</v>
      </c>
      <c r="AD29" s="702">
        <v>0</v>
      </c>
      <c r="AE29" s="702">
        <v>0</v>
      </c>
      <c r="AF29" s="702">
        <v>0</v>
      </c>
      <c r="AG29" s="797">
        <v>0</v>
      </c>
      <c r="AH29" s="702">
        <v>0</v>
      </c>
      <c r="AI29" s="702">
        <v>0</v>
      </c>
      <c r="AJ29" s="702">
        <v>0</v>
      </c>
      <c r="AK29" s="702">
        <v>31</v>
      </c>
      <c r="AL29" s="702">
        <v>0</v>
      </c>
      <c r="AM29" s="702">
        <v>0</v>
      </c>
      <c r="AN29" s="702">
        <v>0</v>
      </c>
      <c r="AO29" s="702">
        <v>0</v>
      </c>
      <c r="AP29" s="702">
        <v>0</v>
      </c>
      <c r="AQ29" s="702">
        <v>0</v>
      </c>
      <c r="AR29" s="702">
        <v>0</v>
      </c>
      <c r="AS29" s="497">
        <v>0</v>
      </c>
      <c r="AT29" s="615">
        <f>SUM(Y29:AS29)</f>
        <v>218</v>
      </c>
      <c r="AU29" s="298"/>
      <c r="AV29" s="702">
        <v>0</v>
      </c>
      <c r="AW29" s="702">
        <v>0</v>
      </c>
      <c r="AX29" s="797">
        <v>0</v>
      </c>
      <c r="AY29" s="702">
        <v>0</v>
      </c>
      <c r="AZ29" s="702">
        <v>14</v>
      </c>
      <c r="BA29" s="702">
        <v>0</v>
      </c>
      <c r="BB29" s="702">
        <v>0</v>
      </c>
      <c r="BC29" s="702">
        <v>0</v>
      </c>
      <c r="BD29" s="702">
        <v>0</v>
      </c>
      <c r="BE29" s="702">
        <v>0</v>
      </c>
      <c r="BF29" s="895">
        <f>SUM(AT29:BE29)</f>
        <v>232</v>
      </c>
      <c r="BG29" s="647">
        <f>BF29-AT29</f>
        <v>14</v>
      </c>
      <c r="BH29" s="344"/>
      <c r="BI29" s="344"/>
      <c r="BJ29" s="344"/>
      <c r="BK29" s="344"/>
      <c r="BL29" s="344"/>
      <c r="BM29" s="344"/>
      <c r="BN29" s="344"/>
    </row>
    <row r="30" spans="1:66" s="286" customFormat="1">
      <c r="A30" s="242">
        <v>12</v>
      </c>
      <c r="B30" s="252" t="s">
        <v>45</v>
      </c>
      <c r="C30" s="252"/>
      <c r="E30" s="253">
        <f t="shared" ref="E30:AL30" si="55">SUM(E27:E29)</f>
        <v>2611</v>
      </c>
      <c r="F30" s="253">
        <f t="shared" si="55"/>
        <v>0</v>
      </c>
      <c r="G30" s="253">
        <f t="shared" si="55"/>
        <v>0</v>
      </c>
      <c r="H30" s="253">
        <f t="shared" si="55"/>
        <v>0</v>
      </c>
      <c r="I30" s="253">
        <f t="shared" si="55"/>
        <v>0</v>
      </c>
      <c r="J30" s="253">
        <f>SUM(J27:J29)</f>
        <v>0</v>
      </c>
      <c r="K30" s="253">
        <f t="shared" si="55"/>
        <v>0</v>
      </c>
      <c r="L30" s="253">
        <f t="shared" si="55"/>
        <v>0</v>
      </c>
      <c r="M30" s="253">
        <f t="shared" si="55"/>
        <v>0</v>
      </c>
      <c r="N30" s="253">
        <f t="shared" si="55"/>
        <v>0</v>
      </c>
      <c r="O30" s="253">
        <f t="shared" ref="O30:P30" si="56">SUM(O27:O29)</f>
        <v>0</v>
      </c>
      <c r="P30" s="253">
        <f t="shared" si="56"/>
        <v>0</v>
      </c>
      <c r="Q30" s="253">
        <f>SUM(Q27:Q29)</f>
        <v>0</v>
      </c>
      <c r="R30" s="253">
        <f>SUM(R27:R29)</f>
        <v>0</v>
      </c>
      <c r="S30" s="253">
        <f>SUM(S27:S29)</f>
        <v>0</v>
      </c>
      <c r="T30" s="756">
        <f t="shared" ref="T30" si="57">SUM(T27:T29)</f>
        <v>0</v>
      </c>
      <c r="U30" s="756">
        <f>SUM(U27:U29)</f>
        <v>0</v>
      </c>
      <c r="V30" s="253">
        <f>SUM(V27:V29)</f>
        <v>0</v>
      </c>
      <c r="W30" s="253">
        <f>SUM(W27:W29)</f>
        <v>0</v>
      </c>
      <c r="X30" s="756">
        <f>SUM(X27:X29)</f>
        <v>0</v>
      </c>
      <c r="Y30" s="288">
        <f t="shared" si="55"/>
        <v>2611</v>
      </c>
      <c r="Z30" s="298"/>
      <c r="AA30" s="253">
        <f>SUM(AA27:AA29)</f>
        <v>0</v>
      </c>
      <c r="AB30" s="253">
        <f>SUM(AB27:AB29)</f>
        <v>0</v>
      </c>
      <c r="AC30" s="253">
        <f>SUM(AC27:AC29)</f>
        <v>0</v>
      </c>
      <c r="AD30" s="253">
        <f t="shared" ref="AD30" si="58">SUM(AD27:AD29)</f>
        <v>0</v>
      </c>
      <c r="AE30" s="253">
        <f>SUM(AE27:AE29)</f>
        <v>0</v>
      </c>
      <c r="AF30" s="253">
        <f>SUM(AF27:AF29)</f>
        <v>0</v>
      </c>
      <c r="AG30" s="173">
        <f t="shared" ref="AG30" si="59">SUM(AG27:AG29)</f>
        <v>0.3</v>
      </c>
      <c r="AH30" s="253">
        <f t="shared" si="55"/>
        <v>0</v>
      </c>
      <c r="AI30" s="253">
        <f t="shared" si="55"/>
        <v>0</v>
      </c>
      <c r="AJ30" s="253">
        <f t="shared" ref="AJ30" si="60">SUM(AJ27:AJ29)</f>
        <v>0</v>
      </c>
      <c r="AK30" s="253">
        <f t="shared" ref="AK30" si="61">SUM(AK27:AK29)</f>
        <v>31</v>
      </c>
      <c r="AL30" s="253">
        <f t="shared" si="55"/>
        <v>0</v>
      </c>
      <c r="AM30" s="253">
        <f>SUM(AM27:AM29)</f>
        <v>0</v>
      </c>
      <c r="AN30" s="253">
        <f t="shared" ref="AN30" si="62">SUM(AN27:AN29)</f>
        <v>320.24599999999998</v>
      </c>
      <c r="AO30" s="253">
        <f>SUM(AO27:AO29)</f>
        <v>7</v>
      </c>
      <c r="AP30" s="445">
        <f>SUM(AP27:AP29)</f>
        <v>22</v>
      </c>
      <c r="AQ30" s="445">
        <f>SUM(AQ27:AQ29)</f>
        <v>21</v>
      </c>
      <c r="AR30" s="445">
        <f>SUM(AR27:AR29)</f>
        <v>0</v>
      </c>
      <c r="AS30" s="498">
        <f t="shared" ref="AS30" si="63">SUM(AS27:AS29)</f>
        <v>0</v>
      </c>
      <c r="AT30" s="614">
        <f t="shared" ref="AT30" si="64">SUM(AT27:AT29)</f>
        <v>3012.5459999999998</v>
      </c>
      <c r="AU30" s="298"/>
      <c r="AV30" s="253">
        <f>SUM(AV27:AV29)</f>
        <v>0</v>
      </c>
      <c r="AW30" s="253">
        <f t="shared" ref="AW30" si="65">SUM(AW27:AW29)</f>
        <v>0</v>
      </c>
      <c r="AX30" s="173">
        <f t="shared" ref="AX30:BA30" si="66">SUM(AX27:AX29)</f>
        <v>0.1</v>
      </c>
      <c r="AY30" s="253">
        <f t="shared" si="66"/>
        <v>0</v>
      </c>
      <c r="AZ30" s="253">
        <f>SUM(AZ27:AZ29)</f>
        <v>14</v>
      </c>
      <c r="BA30" s="253">
        <f t="shared" si="66"/>
        <v>0</v>
      </c>
      <c r="BB30" s="253">
        <f>SUM(BB27:BB29)</f>
        <v>0</v>
      </c>
      <c r="BC30" s="253">
        <f t="shared" ref="BC30" si="67">SUM(BC27:BC29)</f>
        <v>142.33099999999999</v>
      </c>
      <c r="BD30" s="445">
        <f>SUM(BD27:BD29)</f>
        <v>22</v>
      </c>
      <c r="BE30" s="445">
        <f>SUM(BE27:BE29)</f>
        <v>0</v>
      </c>
      <c r="BF30" s="896">
        <f>SUM(BF27:BF29)</f>
        <v>3190.9769999999999</v>
      </c>
      <c r="BG30" s="253">
        <f>SUM(BG27:BG29)</f>
        <v>178.43100000000004</v>
      </c>
      <c r="BH30" s="344"/>
      <c r="BI30" s="344"/>
      <c r="BJ30" s="344"/>
      <c r="BK30" s="344"/>
      <c r="BL30" s="344"/>
      <c r="BM30" s="344"/>
      <c r="BN30" s="344"/>
    </row>
    <row r="31" spans="1:66" s="286" customFormat="1" ht="9" customHeight="1">
      <c r="A31" s="242"/>
      <c r="B31" s="252"/>
      <c r="C31" s="252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756"/>
      <c r="U31" s="756"/>
      <c r="V31" s="253"/>
      <c r="W31" s="253"/>
      <c r="X31" s="756"/>
      <c r="Y31" s="288"/>
      <c r="Z31" s="298"/>
      <c r="AA31" s="253"/>
      <c r="AB31" s="253"/>
      <c r="AC31" s="253"/>
      <c r="AD31" s="253"/>
      <c r="AE31" s="253"/>
      <c r="AF31" s="253"/>
      <c r="AG31" s="173"/>
      <c r="AH31" s="253"/>
      <c r="AI31" s="253"/>
      <c r="AJ31" s="253"/>
      <c r="AK31" s="253"/>
      <c r="AL31" s="253"/>
      <c r="AM31" s="253"/>
      <c r="AN31" s="253"/>
      <c r="AO31" s="253"/>
      <c r="AP31" s="445"/>
      <c r="AQ31" s="445"/>
      <c r="AR31" s="445"/>
      <c r="AS31" s="498"/>
      <c r="AT31" s="614"/>
      <c r="AU31" s="298"/>
      <c r="AV31" s="253"/>
      <c r="AW31" s="253"/>
      <c r="AX31" s="173"/>
      <c r="AY31" s="253"/>
      <c r="AZ31" s="253"/>
      <c r="BA31" s="253"/>
      <c r="BB31" s="253"/>
      <c r="BC31" s="253"/>
      <c r="BD31" s="445"/>
      <c r="BE31" s="445"/>
      <c r="BF31" s="896"/>
      <c r="BG31" s="253"/>
      <c r="BH31" s="344"/>
      <c r="BI31" s="344"/>
      <c r="BJ31" s="344"/>
      <c r="BK31" s="344"/>
      <c r="BL31" s="344"/>
      <c r="BM31" s="344"/>
      <c r="BN31" s="344"/>
    </row>
    <row r="32" spans="1:66" s="286" customFormat="1">
      <c r="A32" s="242"/>
      <c r="B32" s="252" t="s">
        <v>46</v>
      </c>
      <c r="D32" s="252"/>
      <c r="E32" s="253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754"/>
      <c r="U32" s="754"/>
      <c r="V32" s="648"/>
      <c r="W32" s="648"/>
      <c r="X32" s="754"/>
      <c r="Y32" s="288"/>
      <c r="Z32" s="298"/>
      <c r="AA32" s="648"/>
      <c r="AB32" s="648"/>
      <c r="AC32" s="648"/>
      <c r="AD32" s="648"/>
      <c r="AE32" s="648"/>
      <c r="AF32" s="648"/>
      <c r="AG32" s="796"/>
      <c r="AH32" s="648"/>
      <c r="AI32" s="648"/>
      <c r="AJ32" s="648"/>
      <c r="AK32" s="648"/>
      <c r="AL32" s="648"/>
      <c r="AM32" s="648"/>
      <c r="AN32" s="648"/>
      <c r="AO32" s="648"/>
      <c r="AP32" s="703"/>
      <c r="AQ32" s="703"/>
      <c r="AR32" s="703"/>
      <c r="AS32" s="496"/>
      <c r="AT32" s="614"/>
      <c r="AU32" s="298"/>
      <c r="AV32" s="648"/>
      <c r="AW32" s="648"/>
      <c r="AX32" s="796"/>
      <c r="AY32" s="648"/>
      <c r="AZ32" s="648"/>
      <c r="BA32" s="648"/>
      <c r="BB32" s="648"/>
      <c r="BC32" s="648"/>
      <c r="BD32" s="703"/>
      <c r="BE32" s="703"/>
      <c r="BF32" s="897"/>
      <c r="BG32" s="648"/>
      <c r="BH32" s="344"/>
      <c r="BI32" s="344"/>
      <c r="BJ32" s="344"/>
      <c r="BK32" s="344"/>
      <c r="BL32" s="344"/>
      <c r="BM32" s="344"/>
      <c r="BN32" s="344"/>
    </row>
    <row r="33" spans="1:66" s="286" customFormat="1">
      <c r="A33" s="242">
        <v>13</v>
      </c>
      <c r="C33" s="252" t="s">
        <v>43</v>
      </c>
      <c r="D33" s="252"/>
      <c r="E33" s="253">
        <f>'ROO INPUT 1.00'!$F34</f>
        <v>12281</v>
      </c>
      <c r="F33" s="648">
        <v>0</v>
      </c>
      <c r="G33" s="648">
        <v>0</v>
      </c>
      <c r="H33" s="648">
        <v>0</v>
      </c>
      <c r="I33" s="648">
        <v>0</v>
      </c>
      <c r="J33" s="648">
        <v>0</v>
      </c>
      <c r="K33" s="648">
        <v>0</v>
      </c>
      <c r="L33" s="648">
        <v>0</v>
      </c>
      <c r="M33" s="648">
        <v>0</v>
      </c>
      <c r="N33" s="648">
        <v>0</v>
      </c>
      <c r="O33" s="648">
        <v>0</v>
      </c>
      <c r="P33" s="648">
        <v>0</v>
      </c>
      <c r="Q33" s="648">
        <v>0</v>
      </c>
      <c r="R33" s="648">
        <v>0</v>
      </c>
      <c r="S33" s="648">
        <v>0</v>
      </c>
      <c r="T33" s="754">
        <v>-14</v>
      </c>
      <c r="U33" s="754">
        <v>0</v>
      </c>
      <c r="V33" s="648">
        <v>0</v>
      </c>
      <c r="W33" s="648">
        <v>0</v>
      </c>
      <c r="X33" s="754">
        <v>0</v>
      </c>
      <c r="Y33" s="288">
        <f>SUM(E33:X33)</f>
        <v>12267</v>
      </c>
      <c r="Z33" s="298"/>
      <c r="AA33" s="648">
        <v>0</v>
      </c>
      <c r="AB33" s="648">
        <v>0</v>
      </c>
      <c r="AC33" s="648">
        <v>0</v>
      </c>
      <c r="AD33" s="648">
        <v>-700</v>
      </c>
      <c r="AE33" s="648">
        <v>0</v>
      </c>
      <c r="AF33" s="648">
        <v>0</v>
      </c>
      <c r="AG33" s="796">
        <f>688+175+129-9</f>
        <v>983</v>
      </c>
      <c r="AH33" s="648"/>
      <c r="AI33" s="648">
        <v>-54</v>
      </c>
      <c r="AJ33" s="648"/>
      <c r="AK33" s="648">
        <v>0</v>
      </c>
      <c r="AL33" s="648">
        <v>0</v>
      </c>
      <c r="AM33" s="648">
        <v>0</v>
      </c>
      <c r="AN33" s="648">
        <f>915708/1000</f>
        <v>915.70799999999997</v>
      </c>
      <c r="AO33" s="648">
        <v>0</v>
      </c>
      <c r="AP33" s="703">
        <v>0</v>
      </c>
      <c r="AQ33" s="703">
        <v>0</v>
      </c>
      <c r="AR33" s="703">
        <v>0</v>
      </c>
      <c r="AS33" s="496">
        <v>0</v>
      </c>
      <c r="AT33" s="614">
        <f>SUM(Y33:AS33)</f>
        <v>13411.708000000001</v>
      </c>
      <c r="AU33" s="298"/>
      <c r="AV33" s="648">
        <v>0</v>
      </c>
      <c r="AW33" s="648">
        <v>-264</v>
      </c>
      <c r="AX33" s="796">
        <f>249+6+5</f>
        <v>260</v>
      </c>
      <c r="AY33" s="648">
        <v>63</v>
      </c>
      <c r="AZ33" s="648">
        <v>0</v>
      </c>
      <c r="BA33" s="648">
        <v>0</v>
      </c>
      <c r="BB33" s="648">
        <v>0</v>
      </c>
      <c r="BC33" s="648">
        <f>406981/1000</f>
        <v>406.98099999999999</v>
      </c>
      <c r="BD33" s="703">
        <v>0</v>
      </c>
      <c r="BE33" s="703">
        <v>0</v>
      </c>
      <c r="BF33" s="894">
        <f>SUM(AT33:BE33)</f>
        <v>13877.689</v>
      </c>
      <c r="BG33" s="646">
        <f>BF33-AT33</f>
        <v>465.98099999999977</v>
      </c>
      <c r="BH33" s="344"/>
      <c r="BI33" s="344"/>
      <c r="BJ33" s="344"/>
      <c r="BK33" s="344"/>
      <c r="BL33" s="344"/>
      <c r="BM33" s="344"/>
      <c r="BN33" s="344"/>
    </row>
    <row r="34" spans="1:66" s="286" customFormat="1">
      <c r="A34" s="242">
        <v>14</v>
      </c>
      <c r="C34" s="252" t="s">
        <v>192</v>
      </c>
      <c r="D34" s="252"/>
      <c r="E34" s="253">
        <f>'ROO INPUT 1.00'!$F35</f>
        <v>14391</v>
      </c>
      <c r="F34" s="648">
        <v>0</v>
      </c>
      <c r="G34" s="648">
        <v>0</v>
      </c>
      <c r="H34" s="648">
        <v>0</v>
      </c>
      <c r="I34" s="648">
        <v>0</v>
      </c>
      <c r="J34" s="648">
        <v>0</v>
      </c>
      <c r="K34" s="648">
        <v>0</v>
      </c>
      <c r="L34" s="648">
        <v>0</v>
      </c>
      <c r="M34" s="648">
        <v>0</v>
      </c>
      <c r="N34" s="648">
        <v>0</v>
      </c>
      <c r="O34" s="648">
        <v>0</v>
      </c>
      <c r="P34" s="648">
        <v>0</v>
      </c>
      <c r="Q34" s="648">
        <v>-11</v>
      </c>
      <c r="R34" s="648">
        <v>0</v>
      </c>
      <c r="S34" s="648">
        <v>0</v>
      </c>
      <c r="T34" s="754">
        <v>0</v>
      </c>
      <c r="U34" s="754">
        <v>0</v>
      </c>
      <c r="V34" s="648">
        <v>0</v>
      </c>
      <c r="W34" s="648">
        <v>0</v>
      </c>
      <c r="X34" s="754">
        <v>0</v>
      </c>
      <c r="Y34" s="288">
        <f>SUM(E34:X34)</f>
        <v>14380</v>
      </c>
      <c r="Z34" s="298"/>
      <c r="AA34" s="648">
        <v>0</v>
      </c>
      <c r="AB34" s="648">
        <v>0</v>
      </c>
      <c r="AC34" s="648">
        <v>0</v>
      </c>
      <c r="AD34" s="648">
        <v>0</v>
      </c>
      <c r="AE34" s="648">
        <v>0</v>
      </c>
      <c r="AF34" s="648">
        <v>0</v>
      </c>
      <c r="AG34" s="796">
        <v>0</v>
      </c>
      <c r="AH34" s="648">
        <v>0</v>
      </c>
      <c r="AI34" s="648">
        <v>0</v>
      </c>
      <c r="AJ34" s="648">
        <v>0</v>
      </c>
      <c r="AK34" s="648">
        <v>0</v>
      </c>
      <c r="AL34" s="648">
        <v>0</v>
      </c>
      <c r="AM34" s="648">
        <v>0</v>
      </c>
      <c r="AN34" s="648">
        <v>0</v>
      </c>
      <c r="AO34" s="648">
        <v>275</v>
      </c>
      <c r="AP34" s="703">
        <v>1064</v>
      </c>
      <c r="AQ34" s="703">
        <v>998</v>
      </c>
      <c r="AR34" s="703"/>
      <c r="AS34" s="496">
        <v>0</v>
      </c>
      <c r="AT34" s="614">
        <f>SUM(Y34:AS34)</f>
        <v>16717</v>
      </c>
      <c r="AU34" s="298"/>
      <c r="AV34" s="648">
        <v>0</v>
      </c>
      <c r="AW34" s="648">
        <v>0</v>
      </c>
      <c r="AX34" s="796">
        <v>0</v>
      </c>
      <c r="AY34" s="648">
        <v>0</v>
      </c>
      <c r="AZ34" s="648">
        <v>0</v>
      </c>
      <c r="BA34" s="648">
        <v>0</v>
      </c>
      <c r="BB34" s="648">
        <v>0</v>
      </c>
      <c r="BC34" s="648">
        <v>0</v>
      </c>
      <c r="BD34" s="703">
        <v>846</v>
      </c>
      <c r="BE34" s="703"/>
      <c r="BF34" s="894">
        <f>SUM(AT34:BE34)</f>
        <v>17563</v>
      </c>
      <c r="BG34" s="646">
        <f>BF34-AT34</f>
        <v>846</v>
      </c>
      <c r="BH34" s="344"/>
      <c r="BI34" s="344"/>
      <c r="BJ34" s="344"/>
      <c r="BK34" s="344"/>
      <c r="BL34" s="344"/>
      <c r="BM34" s="344"/>
      <c r="BN34" s="344"/>
    </row>
    <row r="35" spans="1:66" s="286" customFormat="1">
      <c r="A35" s="242">
        <v>15</v>
      </c>
      <c r="C35" s="252" t="s">
        <v>21</v>
      </c>
      <c r="D35" s="252"/>
      <c r="E35" s="214">
        <f>'ROO INPUT 1.00'!$F36</f>
        <v>14862</v>
      </c>
      <c r="F35" s="702">
        <v>0</v>
      </c>
      <c r="G35" s="702">
        <v>0</v>
      </c>
      <c r="H35" s="702">
        <v>0</v>
      </c>
      <c r="I35" s="702">
        <v>-5540</v>
      </c>
      <c r="J35" s="702">
        <v>1</v>
      </c>
      <c r="K35" s="702">
        <v>0</v>
      </c>
      <c r="L35" s="702">
        <v>0</v>
      </c>
      <c r="M35" s="702">
        <v>0</v>
      </c>
      <c r="N35" s="702">
        <v>0</v>
      </c>
      <c r="O35" s="702">
        <v>0</v>
      </c>
      <c r="P35" s="702">
        <v>2</v>
      </c>
      <c r="Q35" s="702">
        <v>0</v>
      </c>
      <c r="R35" s="702">
        <f>ROUND((R$14+R$15)*CF!$E$19,0)</f>
        <v>318</v>
      </c>
      <c r="S35" s="702">
        <f>ROUND((S$14+S$15)*CF!$E$19,0)</f>
        <v>-176</v>
      </c>
      <c r="T35" s="755">
        <v>0</v>
      </c>
      <c r="U35" s="755">
        <v>0</v>
      </c>
      <c r="V35" s="702">
        <v>0</v>
      </c>
      <c r="W35" s="702">
        <v>0</v>
      </c>
      <c r="X35" s="755">
        <v>0</v>
      </c>
      <c r="Y35" s="552">
        <f>SUM(E35:X35)</f>
        <v>9467</v>
      </c>
      <c r="Z35" s="298"/>
      <c r="AA35" s="702">
        <f>ROUND((AA$14+AA$15)*CF!$E$19,0)</f>
        <v>-1714</v>
      </c>
      <c r="AB35" s="702">
        <v>0</v>
      </c>
      <c r="AC35" s="702">
        <v>0</v>
      </c>
      <c r="AD35" s="702">
        <v>0</v>
      </c>
      <c r="AE35" s="702">
        <v>0</v>
      </c>
      <c r="AF35" s="702">
        <v>0</v>
      </c>
      <c r="AG35" s="797">
        <v>0</v>
      </c>
      <c r="AH35" s="702">
        <v>0</v>
      </c>
      <c r="AI35" s="702">
        <v>0</v>
      </c>
      <c r="AJ35" s="702">
        <v>0</v>
      </c>
      <c r="AK35" s="702">
        <v>548</v>
      </c>
      <c r="AL35" s="702">
        <v>0</v>
      </c>
      <c r="AM35" s="702">
        <v>0</v>
      </c>
      <c r="AN35" s="702">
        <v>0</v>
      </c>
      <c r="AO35" s="702">
        <v>0</v>
      </c>
      <c r="AP35" s="702">
        <v>0</v>
      </c>
      <c r="AQ35" s="702">
        <v>0</v>
      </c>
      <c r="AR35" s="702">
        <v>0</v>
      </c>
      <c r="AS35" s="497">
        <v>0</v>
      </c>
      <c r="AT35" s="615">
        <f>SUM(Y35:AS35)</f>
        <v>8301</v>
      </c>
      <c r="AU35" s="298"/>
      <c r="AV35" s="702">
        <v>0</v>
      </c>
      <c r="AW35" s="702">
        <v>0</v>
      </c>
      <c r="AX35" s="797">
        <v>0</v>
      </c>
      <c r="AY35" s="702">
        <v>0</v>
      </c>
      <c r="AZ35" s="702">
        <v>248</v>
      </c>
      <c r="BA35" s="702">
        <v>0</v>
      </c>
      <c r="BB35" s="702">
        <v>0</v>
      </c>
      <c r="BC35" s="702">
        <v>0</v>
      </c>
      <c r="BD35" s="702">
        <v>0</v>
      </c>
      <c r="BE35" s="702">
        <v>0</v>
      </c>
      <c r="BF35" s="895">
        <f>SUM(AT35:BE35)</f>
        <v>8549</v>
      </c>
      <c r="BG35" s="647">
        <f>BF35-AT35</f>
        <v>248</v>
      </c>
      <c r="BH35" s="344"/>
      <c r="BI35" s="344"/>
      <c r="BJ35" s="344"/>
      <c r="BK35" s="344"/>
      <c r="BL35" s="344"/>
      <c r="BM35" s="344"/>
      <c r="BN35" s="344"/>
    </row>
    <row r="36" spans="1:66" s="286" customFormat="1" ht="12.95" customHeight="1">
      <c r="A36" s="242">
        <v>16</v>
      </c>
      <c r="B36" s="252" t="s">
        <v>47</v>
      </c>
      <c r="C36" s="252"/>
      <c r="E36" s="253">
        <f t="shared" ref="E36:N36" si="68">SUM(E33:E35)</f>
        <v>41534</v>
      </c>
      <c r="F36" s="253">
        <f t="shared" si="68"/>
        <v>0</v>
      </c>
      <c r="G36" s="253">
        <f t="shared" si="68"/>
        <v>0</v>
      </c>
      <c r="H36" s="253">
        <f t="shared" si="68"/>
        <v>0</v>
      </c>
      <c r="I36" s="253">
        <f t="shared" si="68"/>
        <v>-5540</v>
      </c>
      <c r="J36" s="253">
        <f>SUM(J33:J35)</f>
        <v>1</v>
      </c>
      <c r="K36" s="253">
        <f t="shared" si="68"/>
        <v>0</v>
      </c>
      <c r="L36" s="253">
        <f t="shared" si="68"/>
        <v>0</v>
      </c>
      <c r="M36" s="253">
        <f t="shared" si="68"/>
        <v>0</v>
      </c>
      <c r="N36" s="253">
        <f t="shared" si="68"/>
        <v>0</v>
      </c>
      <c r="O36" s="253">
        <f t="shared" ref="O36:P36" si="69">SUM(O33:O35)</f>
        <v>0</v>
      </c>
      <c r="P36" s="253">
        <f t="shared" si="69"/>
        <v>2</v>
      </c>
      <c r="Q36" s="253">
        <f t="shared" ref="Q36:U36" si="70">SUM(Q33:Q35)</f>
        <v>-11</v>
      </c>
      <c r="R36" s="253">
        <f t="shared" si="70"/>
        <v>318</v>
      </c>
      <c r="S36" s="253">
        <f t="shared" si="70"/>
        <v>-176</v>
      </c>
      <c r="T36" s="756">
        <f t="shared" si="70"/>
        <v>-14</v>
      </c>
      <c r="U36" s="756">
        <f t="shared" si="70"/>
        <v>0</v>
      </c>
      <c r="V36" s="253">
        <f t="shared" ref="V36" si="71">SUM(V33:V35)</f>
        <v>0</v>
      </c>
      <c r="W36" s="253">
        <f t="shared" ref="W36:X36" si="72">SUM(W33:W35)</f>
        <v>0</v>
      </c>
      <c r="X36" s="756">
        <f t="shared" si="72"/>
        <v>0</v>
      </c>
      <c r="Y36" s="288">
        <f>SUM(Y33:Y35)</f>
        <v>36114</v>
      </c>
      <c r="Z36" s="298"/>
      <c r="AA36" s="253">
        <f>SUM(AA33:AA35)</f>
        <v>-1714</v>
      </c>
      <c r="AB36" s="253">
        <f>SUM(AB33:AB35)</f>
        <v>0</v>
      </c>
      <c r="AC36" s="253">
        <f>SUM(AC33:AC35)</f>
        <v>0</v>
      </c>
      <c r="AD36" s="253">
        <f t="shared" ref="AD36" si="73">SUM(AD33:AD35)</f>
        <v>-700</v>
      </c>
      <c r="AE36" s="253">
        <f>SUM(AE33:AE35)</f>
        <v>0</v>
      </c>
      <c r="AF36" s="253">
        <f>SUM(AF33:AF35)</f>
        <v>0</v>
      </c>
      <c r="AG36" s="173">
        <f>SUM(AG33:AG35)</f>
        <v>983</v>
      </c>
      <c r="AH36" s="253">
        <f>SUM(AH33:AH35)</f>
        <v>0</v>
      </c>
      <c r="AI36" s="253">
        <f t="shared" ref="AI36:AL36" si="74">SUM(AI33:AI35)</f>
        <v>-54</v>
      </c>
      <c r="AJ36" s="253">
        <f t="shared" ref="AJ36" si="75">SUM(AJ33:AJ35)</f>
        <v>0</v>
      </c>
      <c r="AK36" s="253">
        <f t="shared" ref="AK36" si="76">SUM(AK33:AK35)</f>
        <v>548</v>
      </c>
      <c r="AL36" s="253">
        <f t="shared" si="74"/>
        <v>0</v>
      </c>
      <c r="AM36" s="253">
        <f>SUM(AM33:AM35)</f>
        <v>0</v>
      </c>
      <c r="AN36" s="253">
        <f t="shared" ref="AN36" si="77">SUM(AN33:AN35)</f>
        <v>915.70799999999997</v>
      </c>
      <c r="AO36" s="253">
        <f t="shared" ref="AO36" si="78">SUM(AO33:AO35)</f>
        <v>275</v>
      </c>
      <c r="AP36" s="445">
        <f>SUM(AP33:AP35)</f>
        <v>1064</v>
      </c>
      <c r="AQ36" s="445">
        <f>SUM(AQ33:AQ35)</f>
        <v>998</v>
      </c>
      <c r="AR36" s="445">
        <f>SUM(AR33:AR35)</f>
        <v>0</v>
      </c>
      <c r="AS36" s="498">
        <f t="shared" ref="AS36" si="79">SUM(AS33:AS35)</f>
        <v>0</v>
      </c>
      <c r="AT36" s="614">
        <f t="shared" ref="AT36" si="80">SUM(AT33:AT35)</f>
        <v>38429.707999999999</v>
      </c>
      <c r="AU36" s="298"/>
      <c r="AV36" s="253">
        <f>SUM(AV33:AV35)</f>
        <v>0</v>
      </c>
      <c r="AW36" s="253">
        <f t="shared" ref="AW36" si="81">SUM(AW33:AW35)</f>
        <v>-264</v>
      </c>
      <c r="AX36" s="173">
        <f>SUM(AX33:AX35)</f>
        <v>260</v>
      </c>
      <c r="AY36" s="253">
        <f t="shared" ref="AY36:BA36" si="82">SUM(AY33:AY35)</f>
        <v>63</v>
      </c>
      <c r="AZ36" s="253">
        <f>SUM(AZ33:AZ35)</f>
        <v>248</v>
      </c>
      <c r="BA36" s="253">
        <f t="shared" si="82"/>
        <v>0</v>
      </c>
      <c r="BB36" s="253">
        <f>SUM(BB33:BB35)</f>
        <v>0</v>
      </c>
      <c r="BC36" s="253">
        <f t="shared" ref="BC36" si="83">SUM(BC33:BC35)</f>
        <v>406.98099999999999</v>
      </c>
      <c r="BD36" s="445">
        <f>SUM(BD33:BD35)</f>
        <v>846</v>
      </c>
      <c r="BE36" s="445">
        <f>SUM(BE33:BE35)</f>
        <v>0</v>
      </c>
      <c r="BF36" s="896">
        <f>SUM(BF33:BF35)</f>
        <v>39989.688999999998</v>
      </c>
      <c r="BG36" s="253">
        <f>SUM(BG33:BG35)</f>
        <v>1559.9809999999998</v>
      </c>
      <c r="BH36" s="344"/>
      <c r="BI36" s="344"/>
      <c r="BJ36" s="344"/>
      <c r="BK36" s="344"/>
      <c r="BL36" s="344"/>
      <c r="BM36" s="344"/>
      <c r="BN36" s="344"/>
    </row>
    <row r="37" spans="1:66" s="286" customFormat="1" ht="9.75" customHeight="1">
      <c r="A37" s="242"/>
      <c r="C37" s="252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756"/>
      <c r="U37" s="756"/>
      <c r="V37" s="253"/>
      <c r="W37" s="253"/>
      <c r="X37" s="756"/>
      <c r="Y37" s="288"/>
      <c r="Z37" s="298"/>
      <c r="AA37" s="253"/>
      <c r="AB37" s="253"/>
      <c r="AC37" s="253"/>
      <c r="AD37" s="253"/>
      <c r="AE37" s="253"/>
      <c r="AF37" s="253"/>
      <c r="AG37" s="173"/>
      <c r="AH37" s="253"/>
      <c r="AI37" s="253"/>
      <c r="AJ37" s="253"/>
      <c r="AK37" s="253"/>
      <c r="AL37" s="253"/>
      <c r="AM37" s="253"/>
      <c r="AN37" s="253"/>
      <c r="AO37" s="253"/>
      <c r="AP37" s="445"/>
      <c r="AQ37" s="445"/>
      <c r="AR37" s="445"/>
      <c r="AS37" s="498"/>
      <c r="AT37" s="614"/>
      <c r="AU37" s="298"/>
      <c r="AV37" s="253"/>
      <c r="AW37" s="253"/>
      <c r="AX37" s="173"/>
      <c r="AY37" s="253"/>
      <c r="AZ37" s="253"/>
      <c r="BA37" s="253"/>
      <c r="BB37" s="253"/>
      <c r="BC37" s="253"/>
      <c r="BD37" s="445"/>
      <c r="BE37" s="445"/>
      <c r="BF37" s="896"/>
      <c r="BG37" s="253"/>
      <c r="BH37" s="344"/>
      <c r="BI37" s="344"/>
      <c r="BJ37" s="344"/>
      <c r="BK37" s="344"/>
      <c r="BL37" s="344"/>
      <c r="BM37" s="344"/>
      <c r="BN37" s="344"/>
    </row>
    <row r="38" spans="1:66" s="286" customFormat="1" ht="12.95" customHeight="1">
      <c r="A38" s="242">
        <v>17</v>
      </c>
      <c r="B38" s="286" t="s">
        <v>48</v>
      </c>
      <c r="C38" s="252"/>
      <c r="D38" s="252"/>
      <c r="E38" s="253">
        <f>'ROO INPUT 1.00'!$F39</f>
        <v>4562</v>
      </c>
      <c r="F38" s="703">
        <v>0</v>
      </c>
      <c r="G38" s="703">
        <v>0</v>
      </c>
      <c r="H38" s="703">
        <v>0</v>
      </c>
      <c r="I38" s="703">
        <v>0</v>
      </c>
      <c r="J38" s="703"/>
      <c r="K38" s="703">
        <v>1918</v>
      </c>
      <c r="L38" s="703">
        <v>0</v>
      </c>
      <c r="M38" s="703">
        <v>0</v>
      </c>
      <c r="N38" s="703">
        <v>0</v>
      </c>
      <c r="O38" s="703">
        <v>0</v>
      </c>
      <c r="P38" s="703">
        <v>0</v>
      </c>
      <c r="Q38" s="703">
        <v>0</v>
      </c>
      <c r="R38" s="703">
        <f>ROUND((R$14+R$15)*CF!$E$15,0)</f>
        <v>28</v>
      </c>
      <c r="S38" s="648">
        <f>ROUND((S$14+S$15)*CF!$E$15,0)</f>
        <v>-15</v>
      </c>
      <c r="T38" s="754">
        <v>0</v>
      </c>
      <c r="U38" s="756">
        <v>0</v>
      </c>
      <c r="V38" s="648">
        <v>0</v>
      </c>
      <c r="W38" s="253">
        <v>0</v>
      </c>
      <c r="X38" s="756">
        <v>0</v>
      </c>
      <c r="Y38" s="288">
        <f>SUM(E38:X38)</f>
        <v>6493</v>
      </c>
      <c r="Z38" s="298"/>
      <c r="AA38" s="648">
        <f>ROUND((AA$14+AA$15)*CF!$E$15,0)</f>
        <v>-149</v>
      </c>
      <c r="AB38" s="703"/>
      <c r="AC38" s="648"/>
      <c r="AD38" s="648"/>
      <c r="AE38" s="648"/>
      <c r="AF38" s="703">
        <v>0</v>
      </c>
      <c r="AG38" s="173">
        <f>192+13+11</f>
        <v>216</v>
      </c>
      <c r="AH38" s="253">
        <v>0</v>
      </c>
      <c r="AI38" s="253">
        <v>-25</v>
      </c>
      <c r="AJ38" s="253">
        <v>-7.3949999999999996</v>
      </c>
      <c r="AK38" s="648"/>
      <c r="AL38" s="703">
        <v>0</v>
      </c>
      <c r="AM38" s="648"/>
      <c r="AN38" s="648">
        <f>216402/1000</f>
        <v>216.40199999999999</v>
      </c>
      <c r="AO38" s="253">
        <v>0</v>
      </c>
      <c r="AP38" s="703">
        <v>0</v>
      </c>
      <c r="AQ38" s="703">
        <v>0</v>
      </c>
      <c r="AR38" s="703">
        <v>0</v>
      </c>
      <c r="AS38" s="503">
        <v>0</v>
      </c>
      <c r="AT38" s="614">
        <f>SUM(Y38:AS38)</f>
        <v>6744.0069999999996</v>
      </c>
      <c r="AU38" s="298"/>
      <c r="AV38" s="648"/>
      <c r="AW38" s="648"/>
      <c r="AX38" s="173">
        <f>75+1</f>
        <v>76</v>
      </c>
      <c r="AY38" s="253">
        <v>30</v>
      </c>
      <c r="AZ38" s="648"/>
      <c r="BA38" s="703">
        <v>0</v>
      </c>
      <c r="BB38" s="703">
        <v>0</v>
      </c>
      <c r="BC38" s="648">
        <f>96179/1000</f>
        <v>96.179000000000002</v>
      </c>
      <c r="BD38" s="703">
        <v>0</v>
      </c>
      <c r="BE38" s="703">
        <v>0</v>
      </c>
      <c r="BF38" s="894">
        <f>SUM(AT38:BE38)</f>
        <v>6946.1859999999997</v>
      </c>
      <c r="BG38" s="646">
        <f>BF38-AT38</f>
        <v>202.17900000000009</v>
      </c>
      <c r="BH38" s="344"/>
      <c r="BI38" s="344"/>
      <c r="BJ38" s="1067"/>
      <c r="BK38" s="625"/>
      <c r="BL38" s="626"/>
      <c r="BM38" s="344"/>
      <c r="BN38" s="344"/>
    </row>
    <row r="39" spans="1:66" s="286" customFormat="1">
      <c r="A39" s="242">
        <v>18</v>
      </c>
      <c r="B39" s="286" t="s">
        <v>49</v>
      </c>
      <c r="C39" s="252"/>
      <c r="D39" s="252"/>
      <c r="E39" s="253">
        <f>'ROO INPUT 1.00'!$F40</f>
        <v>9284</v>
      </c>
      <c r="F39" s="648">
        <v>0</v>
      </c>
      <c r="G39" s="648">
        <v>0</v>
      </c>
      <c r="H39" s="648">
        <v>0</v>
      </c>
      <c r="I39" s="648">
        <v>0</v>
      </c>
      <c r="J39" s="648">
        <v>0</v>
      </c>
      <c r="K39" s="648">
        <v>0</v>
      </c>
      <c r="L39" s="648">
        <v>0</v>
      </c>
      <c r="M39" s="648">
        <v>0</v>
      </c>
      <c r="N39" s="648">
        <v>0</v>
      </c>
      <c r="O39" s="648">
        <v>0</v>
      </c>
      <c r="P39" s="648">
        <v>0</v>
      </c>
      <c r="Q39" s="648">
        <v>0</v>
      </c>
      <c r="R39" s="648">
        <v>0</v>
      </c>
      <c r="S39" s="648">
        <v>-8505</v>
      </c>
      <c r="T39" s="754">
        <v>0</v>
      </c>
      <c r="U39" s="754">
        <v>0</v>
      </c>
      <c r="V39" s="648">
        <v>0</v>
      </c>
      <c r="W39" s="648">
        <v>0</v>
      </c>
      <c r="X39" s="754">
        <v>0</v>
      </c>
      <c r="Y39" s="288">
        <f>SUM(E39:X39)</f>
        <v>779</v>
      </c>
      <c r="Z39" s="298"/>
      <c r="AA39" s="648">
        <v>0</v>
      </c>
      <c r="AB39" s="648">
        <v>0</v>
      </c>
      <c r="AC39" s="648">
        <v>0</v>
      </c>
      <c r="AD39" s="648">
        <v>0</v>
      </c>
      <c r="AE39" s="648">
        <v>0</v>
      </c>
      <c r="AF39" s="648">
        <v>0</v>
      </c>
      <c r="AG39" s="796">
        <f>13</f>
        <v>13</v>
      </c>
      <c r="AH39" s="648">
        <v>0</v>
      </c>
      <c r="AI39" s="648">
        <v>-2</v>
      </c>
      <c r="AJ39" s="648"/>
      <c r="AK39" s="648">
        <v>0</v>
      </c>
      <c r="AL39" s="648">
        <v>0</v>
      </c>
      <c r="AM39" s="648">
        <v>0</v>
      </c>
      <c r="AN39" s="648">
        <f>100432/1000</f>
        <v>100.432</v>
      </c>
      <c r="AO39" s="648">
        <v>0</v>
      </c>
      <c r="AP39" s="703">
        <v>0</v>
      </c>
      <c r="AQ39" s="703">
        <v>0</v>
      </c>
      <c r="AR39" s="703">
        <v>0</v>
      </c>
      <c r="AS39" s="496">
        <v>0</v>
      </c>
      <c r="AT39" s="614">
        <f>SUM(Y39:AS39)</f>
        <v>890.43200000000002</v>
      </c>
      <c r="AU39" s="298"/>
      <c r="AV39" s="648">
        <v>0</v>
      </c>
      <c r="AW39" s="648">
        <v>0</v>
      </c>
      <c r="AX39" s="796">
        <v>5</v>
      </c>
      <c r="AY39" s="648">
        <v>3</v>
      </c>
      <c r="AZ39" s="648">
        <v>0</v>
      </c>
      <c r="BA39" s="648">
        <v>0</v>
      </c>
      <c r="BB39" s="648">
        <v>0</v>
      </c>
      <c r="BC39" s="648">
        <f>44636/1000</f>
        <v>44.636000000000003</v>
      </c>
      <c r="BD39" s="703">
        <v>0</v>
      </c>
      <c r="BE39" s="703">
        <v>0</v>
      </c>
      <c r="BF39" s="894">
        <f>SUM(AT39:BE39)</f>
        <v>943.06799999999998</v>
      </c>
      <c r="BG39" s="646">
        <f>BF39-AT39</f>
        <v>52.635999999999967</v>
      </c>
      <c r="BH39" s="344"/>
      <c r="BI39" s="344"/>
      <c r="BJ39" s="1067"/>
      <c r="BK39" s="627"/>
      <c r="BL39" s="627"/>
      <c r="BM39" s="344"/>
      <c r="BN39" s="344"/>
    </row>
    <row r="40" spans="1:66" s="286" customFormat="1">
      <c r="A40" s="242">
        <v>19</v>
      </c>
      <c r="B40" s="286" t="s">
        <v>50</v>
      </c>
      <c r="C40" s="252"/>
      <c r="D40" s="252"/>
      <c r="E40" s="253">
        <f>'ROO INPUT 1.00'!$F41</f>
        <v>0</v>
      </c>
      <c r="F40" s="648">
        <v>0</v>
      </c>
      <c r="G40" s="648">
        <v>0</v>
      </c>
      <c r="H40" s="648">
        <v>0</v>
      </c>
      <c r="I40" s="648">
        <v>0</v>
      </c>
      <c r="J40" s="648">
        <v>0</v>
      </c>
      <c r="K40" s="648">
        <v>0</v>
      </c>
      <c r="L40" s="648">
        <v>0</v>
      </c>
      <c r="M40" s="648">
        <v>0</v>
      </c>
      <c r="N40" s="648">
        <v>0</v>
      </c>
      <c r="O40" s="648">
        <v>0</v>
      </c>
      <c r="P40" s="648">
        <v>0</v>
      </c>
      <c r="Q40" s="648">
        <v>0</v>
      </c>
      <c r="R40" s="648">
        <v>0</v>
      </c>
      <c r="S40" s="648">
        <v>0</v>
      </c>
      <c r="T40" s="754">
        <v>0</v>
      </c>
      <c r="U40" s="754">
        <v>0</v>
      </c>
      <c r="V40" s="648">
        <v>0</v>
      </c>
      <c r="W40" s="648">
        <v>0</v>
      </c>
      <c r="X40" s="754">
        <v>0</v>
      </c>
      <c r="Y40" s="288">
        <f>SUM(E40:X40)</f>
        <v>0</v>
      </c>
      <c r="Z40" s="298"/>
      <c r="AA40" s="648">
        <v>0</v>
      </c>
      <c r="AB40" s="648">
        <v>0</v>
      </c>
      <c r="AC40" s="648">
        <v>0</v>
      </c>
      <c r="AD40" s="648">
        <v>0</v>
      </c>
      <c r="AE40" s="648">
        <v>0</v>
      </c>
      <c r="AF40" s="648">
        <v>0</v>
      </c>
      <c r="AG40" s="796">
        <v>0</v>
      </c>
      <c r="AH40" s="648">
        <v>0</v>
      </c>
      <c r="AI40" s="648">
        <v>0</v>
      </c>
      <c r="AJ40" s="648">
        <v>0</v>
      </c>
      <c r="AK40" s="648">
        <v>0</v>
      </c>
      <c r="AL40" s="648">
        <v>0</v>
      </c>
      <c r="AM40" s="648">
        <v>0</v>
      </c>
      <c r="AN40" s="648">
        <v>0</v>
      </c>
      <c r="AO40" s="648">
        <v>0</v>
      </c>
      <c r="AP40" s="703">
        <v>0</v>
      </c>
      <c r="AQ40" s="703">
        <v>0</v>
      </c>
      <c r="AR40" s="703">
        <v>0</v>
      </c>
      <c r="AS40" s="496">
        <v>0</v>
      </c>
      <c r="AT40" s="614">
        <f>SUM(Y40:AS40)</f>
        <v>0</v>
      </c>
      <c r="AU40" s="298"/>
      <c r="AV40" s="648">
        <v>0</v>
      </c>
      <c r="AW40" s="648">
        <v>0</v>
      </c>
      <c r="AX40" s="796">
        <v>0</v>
      </c>
      <c r="AY40" s="648">
        <v>0</v>
      </c>
      <c r="AZ40" s="648">
        <v>0</v>
      </c>
      <c r="BA40" s="648">
        <v>0</v>
      </c>
      <c r="BB40" s="648">
        <v>0</v>
      </c>
      <c r="BC40" s="648">
        <v>0</v>
      </c>
      <c r="BD40" s="703">
        <v>0</v>
      </c>
      <c r="BE40" s="703">
        <v>0</v>
      </c>
      <c r="BF40" s="894">
        <f>SUM(AT40:BE40)</f>
        <v>0</v>
      </c>
      <c r="BG40" s="646">
        <f>BF40-AT40</f>
        <v>0</v>
      </c>
      <c r="BH40" s="344"/>
      <c r="BI40" s="344"/>
      <c r="BJ40" s="628"/>
      <c r="BK40" s="628"/>
      <c r="BL40" s="628"/>
      <c r="BM40" s="344"/>
      <c r="BN40" s="344"/>
    </row>
    <row r="41" spans="1:66" s="286" customFormat="1" ht="7.5" customHeight="1">
      <c r="A41" s="242"/>
      <c r="C41" s="252"/>
      <c r="D41" s="252"/>
      <c r="E41" s="253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754"/>
      <c r="U41" s="754"/>
      <c r="V41" s="648"/>
      <c r="W41" s="648"/>
      <c r="X41" s="754"/>
      <c r="Y41" s="288"/>
      <c r="Z41" s="298"/>
      <c r="AA41" s="648"/>
      <c r="AB41" s="648"/>
      <c r="AC41" s="648"/>
      <c r="AD41" s="648"/>
      <c r="AE41" s="648"/>
      <c r="AF41" s="648"/>
      <c r="AG41" s="796"/>
      <c r="AH41" s="648"/>
      <c r="AI41" s="648"/>
      <c r="AJ41" s="648"/>
      <c r="AK41" s="648"/>
      <c r="AL41" s="648"/>
      <c r="AM41" s="648"/>
      <c r="AN41" s="648"/>
      <c r="AO41" s="648"/>
      <c r="AP41" s="703"/>
      <c r="AQ41" s="703"/>
      <c r="AR41" s="703"/>
      <c r="AS41" s="496"/>
      <c r="AT41" s="614"/>
      <c r="AU41" s="298"/>
      <c r="AV41" s="648"/>
      <c r="AW41" s="648"/>
      <c r="AX41" s="796"/>
      <c r="AY41" s="648"/>
      <c r="AZ41" s="648"/>
      <c r="BA41" s="648"/>
      <c r="BB41" s="648"/>
      <c r="BC41" s="648"/>
      <c r="BD41" s="703"/>
      <c r="BE41" s="703"/>
      <c r="BF41" s="897"/>
      <c r="BG41" s="648"/>
      <c r="BH41" s="344"/>
      <c r="BI41" s="344"/>
      <c r="BJ41" s="344"/>
      <c r="BK41" s="344"/>
      <c r="BL41" s="344"/>
      <c r="BM41" s="344"/>
      <c r="BN41" s="344"/>
    </row>
    <row r="42" spans="1:66" s="286" customFormat="1">
      <c r="A42" s="242"/>
      <c r="B42" s="286" t="s">
        <v>51</v>
      </c>
      <c r="C42" s="252"/>
      <c r="D42" s="252"/>
      <c r="E42" s="253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754"/>
      <c r="U42" s="754"/>
      <c r="V42" s="648"/>
      <c r="W42" s="648"/>
      <c r="X42" s="754"/>
      <c r="Y42" s="288">
        <f>SUM(E42:X42)</f>
        <v>0</v>
      </c>
      <c r="Z42" s="298"/>
      <c r="AA42" s="648"/>
      <c r="AB42" s="648"/>
      <c r="AC42" s="648"/>
      <c r="AD42" s="648"/>
      <c r="AE42" s="648"/>
      <c r="AF42" s="648"/>
      <c r="AG42" s="796"/>
      <c r="AH42" s="648"/>
      <c r="AI42" s="648"/>
      <c r="AJ42" s="648"/>
      <c r="AK42" s="648"/>
      <c r="AL42" s="648"/>
      <c r="AM42" s="648"/>
      <c r="AN42" s="648"/>
      <c r="AO42" s="648"/>
      <c r="AP42" s="703"/>
      <c r="AQ42" s="703"/>
      <c r="AR42" s="703"/>
      <c r="AS42" s="496"/>
      <c r="AT42" s="614"/>
      <c r="AU42" s="298"/>
      <c r="AV42" s="648"/>
      <c r="AW42" s="648"/>
      <c r="AX42" s="796"/>
      <c r="AY42" s="648"/>
      <c r="AZ42" s="648"/>
      <c r="BA42" s="648"/>
      <c r="BB42" s="648"/>
      <c r="BC42" s="648"/>
      <c r="BD42" s="703"/>
      <c r="BE42" s="703"/>
      <c r="BF42" s="897"/>
      <c r="BG42" s="648"/>
      <c r="BH42" s="344"/>
      <c r="BI42" s="344"/>
      <c r="BJ42" s="344"/>
      <c r="BK42" s="628"/>
      <c r="BL42" s="628"/>
      <c r="BM42" s="344"/>
      <c r="BN42" s="344"/>
    </row>
    <row r="43" spans="1:66" s="286" customFormat="1">
      <c r="A43" s="242">
        <v>20</v>
      </c>
      <c r="C43" s="252" t="s">
        <v>43</v>
      </c>
      <c r="D43" s="252"/>
      <c r="E43" s="253">
        <f>'ROO INPUT 1.00'!$F44</f>
        <v>20606</v>
      </c>
      <c r="F43" s="648">
        <v>0</v>
      </c>
      <c r="G43" s="648">
        <v>0</v>
      </c>
      <c r="H43" s="648">
        <v>0</v>
      </c>
      <c r="I43" s="648">
        <v>0</v>
      </c>
      <c r="J43" s="648">
        <v>0</v>
      </c>
      <c r="K43" s="648">
        <v>0</v>
      </c>
      <c r="L43" s="648">
        <v>9</v>
      </c>
      <c r="M43" s="648">
        <v>-45</v>
      </c>
      <c r="N43" s="648">
        <v>0</v>
      </c>
      <c r="O43" s="648">
        <v>-17</v>
      </c>
      <c r="P43" s="648">
        <v>0</v>
      </c>
      <c r="Q43" s="648">
        <v>0</v>
      </c>
      <c r="R43" s="648">
        <f>ROUND((R$14+R$15)*CF!$E$17,0)</f>
        <v>17</v>
      </c>
      <c r="S43" s="648">
        <f>ROUND((S$14+S$15)*CF!$E$17,0)</f>
        <v>-9</v>
      </c>
      <c r="T43" s="754">
        <v>-467</v>
      </c>
      <c r="U43" s="754">
        <v>865</v>
      </c>
      <c r="V43" s="648">
        <v>0</v>
      </c>
      <c r="W43" s="648">
        <v>0</v>
      </c>
      <c r="X43" s="754">
        <v>0</v>
      </c>
      <c r="Y43" s="288">
        <f>SUM(E43:X43)</f>
        <v>20959</v>
      </c>
      <c r="Z43" s="298"/>
      <c r="AA43" s="648">
        <f>ROUND((AA$14+AA$15)*CF!$E$17,0)</f>
        <v>-89</v>
      </c>
      <c r="AB43" s="648">
        <v>0</v>
      </c>
      <c r="AC43" s="646">
        <v>0</v>
      </c>
      <c r="AD43" s="646">
        <v>0</v>
      </c>
      <c r="AE43" s="646">
        <v>0</v>
      </c>
      <c r="AF43" s="648">
        <v>0</v>
      </c>
      <c r="AG43" s="796">
        <f>495+36+27+-2</f>
        <v>556</v>
      </c>
      <c r="AH43" s="646">
        <v>20</v>
      </c>
      <c r="AI43" s="648">
        <v>-35</v>
      </c>
      <c r="AJ43" s="648">
        <v>-16</v>
      </c>
      <c r="AK43" s="648">
        <v>0</v>
      </c>
      <c r="AL43" s="648">
        <v>503</v>
      </c>
      <c r="AM43" s="646">
        <v>371</v>
      </c>
      <c r="AN43" s="646">
        <f>683764/1000</f>
        <v>683.76400000000001</v>
      </c>
      <c r="AO43" s="648">
        <v>0</v>
      </c>
      <c r="AP43" s="703">
        <v>0</v>
      </c>
      <c r="AQ43" s="703">
        <v>0</v>
      </c>
      <c r="AR43" s="703">
        <v>-95</v>
      </c>
      <c r="AS43" s="496">
        <v>0</v>
      </c>
      <c r="AT43" s="614">
        <f>SUM(Y43:AS43)</f>
        <v>22857.763999999999</v>
      </c>
      <c r="AU43" s="298"/>
      <c r="AV43" s="646">
        <v>0</v>
      </c>
      <c r="AW43" s="646">
        <v>0</v>
      </c>
      <c r="AX43" s="796">
        <f>191+2</f>
        <v>193</v>
      </c>
      <c r="AY43" s="648">
        <v>41</v>
      </c>
      <c r="AZ43" s="648">
        <v>0</v>
      </c>
      <c r="BA43" s="648">
        <v>101</v>
      </c>
      <c r="BB43" s="648">
        <v>0</v>
      </c>
      <c r="BC43" s="648">
        <f>303895/1000</f>
        <v>303.89499999999998</v>
      </c>
      <c r="BD43" s="703">
        <v>0</v>
      </c>
      <c r="BE43" s="703">
        <v>-71</v>
      </c>
      <c r="BF43" s="894">
        <f>SUM(AT43:BE43)</f>
        <v>23425.659</v>
      </c>
      <c r="BG43" s="646">
        <f>BF43-AT43</f>
        <v>567.89500000000044</v>
      </c>
      <c r="BH43" s="344"/>
      <c r="BI43" s="344"/>
      <c r="BJ43" s="344"/>
      <c r="BK43" s="628"/>
      <c r="BL43" s="628"/>
      <c r="BM43" s="344"/>
      <c r="BN43" s="344"/>
    </row>
    <row r="44" spans="1:66" s="286" customFormat="1">
      <c r="A44" s="242">
        <v>21</v>
      </c>
      <c r="C44" s="252" t="s">
        <v>192</v>
      </c>
      <c r="D44" s="252"/>
      <c r="E44" s="253">
        <f>'ROO INPUT 1.00'!$F45</f>
        <v>12268</v>
      </c>
      <c r="F44" s="648">
        <v>0</v>
      </c>
      <c r="G44" s="648">
        <v>0</v>
      </c>
      <c r="H44" s="648">
        <v>0</v>
      </c>
      <c r="I44" s="648">
        <v>0</v>
      </c>
      <c r="J44" s="648">
        <v>0</v>
      </c>
      <c r="K44" s="648">
        <v>0</v>
      </c>
      <c r="L44" s="648">
        <v>0</v>
      </c>
      <c r="M44" s="648">
        <v>0</v>
      </c>
      <c r="N44" s="648">
        <v>0</v>
      </c>
      <c r="O44" s="648">
        <v>0</v>
      </c>
      <c r="P44" s="648">
        <v>0</v>
      </c>
      <c r="Q44" s="648">
        <v>0</v>
      </c>
      <c r="R44" s="648"/>
      <c r="S44" s="648"/>
      <c r="T44" s="754">
        <v>0</v>
      </c>
      <c r="U44" s="754">
        <v>0</v>
      </c>
      <c r="V44" s="648">
        <v>0</v>
      </c>
      <c r="W44" s="648">
        <v>0</v>
      </c>
      <c r="X44" s="754">
        <v>0</v>
      </c>
      <c r="Y44" s="288">
        <f>SUM(E44:X44)</f>
        <v>12268</v>
      </c>
      <c r="Z44" s="298"/>
      <c r="AA44" s="648">
        <v>0</v>
      </c>
      <c r="AB44" s="648">
        <v>0</v>
      </c>
      <c r="AC44" s="648">
        <v>0</v>
      </c>
      <c r="AD44" s="648">
        <v>0</v>
      </c>
      <c r="AE44" s="648"/>
      <c r="AF44" s="648">
        <v>0</v>
      </c>
      <c r="AG44" s="796">
        <v>0</v>
      </c>
      <c r="AH44" s="648"/>
      <c r="AI44" s="648">
        <v>0</v>
      </c>
      <c r="AJ44" s="648">
        <v>0</v>
      </c>
      <c r="AK44" s="648">
        <v>0</v>
      </c>
      <c r="AL44" s="648">
        <v>0</v>
      </c>
      <c r="AM44" s="648">
        <v>0</v>
      </c>
      <c r="AN44" s="648"/>
      <c r="AO44" s="648">
        <f>159+47</f>
        <v>206</v>
      </c>
      <c r="AP44" s="703">
        <f>-66-404</f>
        <v>-470</v>
      </c>
      <c r="AQ44" s="703">
        <f>-218-110</f>
        <v>-328</v>
      </c>
      <c r="AR44" s="703"/>
      <c r="AS44" s="496">
        <v>0</v>
      </c>
      <c r="AT44" s="614">
        <f>SUM(Y44:AS44)</f>
        <v>11676</v>
      </c>
      <c r="AU44" s="298"/>
      <c r="AV44" s="648">
        <v>0</v>
      </c>
      <c r="AW44" s="648">
        <v>0</v>
      </c>
      <c r="AX44" s="796">
        <v>0</v>
      </c>
      <c r="AY44" s="648">
        <v>0</v>
      </c>
      <c r="AZ44" s="648">
        <v>0</v>
      </c>
      <c r="BA44" s="648">
        <v>0</v>
      </c>
      <c r="BB44" s="648">
        <v>0</v>
      </c>
      <c r="BC44" s="648">
        <v>0</v>
      </c>
      <c r="BD44" s="703">
        <f>-360-549</f>
        <v>-909</v>
      </c>
      <c r="BE44" s="703"/>
      <c r="BF44" s="894">
        <f>SUM(AT44:BE44)</f>
        <v>10767</v>
      </c>
      <c r="BG44" s="646">
        <f>BF44-AT44</f>
        <v>-909</v>
      </c>
      <c r="BH44" s="344"/>
      <c r="BI44" s="344"/>
      <c r="BJ44" s="344"/>
      <c r="BK44" s="628"/>
      <c r="BL44" s="628"/>
      <c r="BM44" s="344"/>
      <c r="BN44" s="344"/>
    </row>
    <row r="45" spans="1:66">
      <c r="A45" s="113">
        <v>22</v>
      </c>
      <c r="C45" s="301" t="s">
        <v>379</v>
      </c>
      <c r="D45" s="3"/>
      <c r="E45" s="211">
        <f>'ROO INPUT 1.00'!$F46</f>
        <v>-4848</v>
      </c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>
        <v>0</v>
      </c>
      <c r="S45" s="648">
        <v>2753</v>
      </c>
      <c r="T45" s="754">
        <v>0</v>
      </c>
      <c r="U45" s="754">
        <v>0</v>
      </c>
      <c r="V45" s="648">
        <v>0</v>
      </c>
      <c r="W45" s="648">
        <v>0</v>
      </c>
      <c r="X45" s="754">
        <v>0</v>
      </c>
      <c r="Y45" s="288">
        <f>SUM(E45:X45)</f>
        <v>-2095</v>
      </c>
      <c r="Z45" s="298"/>
      <c r="AA45" s="648">
        <v>0</v>
      </c>
      <c r="AB45" s="648">
        <v>-497</v>
      </c>
      <c r="AC45" s="648"/>
      <c r="AD45" s="648">
        <v>4117</v>
      </c>
      <c r="AE45" s="648">
        <f>(-139-57-136)/2</f>
        <v>-166</v>
      </c>
      <c r="AF45" s="648">
        <v>-390</v>
      </c>
      <c r="AG45" s="796"/>
      <c r="AH45" s="648"/>
      <c r="AI45" s="648"/>
      <c r="AJ45" s="648"/>
      <c r="AK45" s="648"/>
      <c r="AL45" s="648">
        <v>0</v>
      </c>
      <c r="AM45" s="648"/>
      <c r="AN45" s="648">
        <v>0</v>
      </c>
      <c r="AO45" s="648">
        <v>0</v>
      </c>
      <c r="AP45" s="703"/>
      <c r="AQ45" s="703"/>
      <c r="AR45" s="703"/>
      <c r="AS45" s="496">
        <v>0</v>
      </c>
      <c r="AT45" s="614">
        <f>SUM(Y45:AS45)</f>
        <v>969</v>
      </c>
      <c r="AU45" s="298"/>
      <c r="AV45" s="648"/>
      <c r="AW45" s="648">
        <v>0</v>
      </c>
      <c r="AX45" s="796"/>
      <c r="AY45" s="648"/>
      <c r="AZ45" s="648"/>
      <c r="BA45" s="648">
        <v>0</v>
      </c>
      <c r="BB45" s="648">
        <v>-195</v>
      </c>
      <c r="BC45" s="648"/>
      <c r="BD45" s="703"/>
      <c r="BE45" s="703"/>
      <c r="BF45" s="894">
        <f>SUM(AT45:BE45)</f>
        <v>774</v>
      </c>
      <c r="BG45" s="646">
        <f>BF45-AT45</f>
        <v>-195</v>
      </c>
      <c r="BK45" s="628"/>
      <c r="BL45" s="628"/>
    </row>
    <row r="46" spans="1:66">
      <c r="A46" s="113">
        <v>23</v>
      </c>
      <c r="C46" s="3" t="s">
        <v>21</v>
      </c>
      <c r="D46" s="3"/>
      <c r="E46" s="213">
        <f>'ROO INPUT 1.00'!$F47</f>
        <v>929</v>
      </c>
      <c r="F46" s="702">
        <v>0</v>
      </c>
      <c r="G46" s="702">
        <v>0</v>
      </c>
      <c r="H46" s="702">
        <v>0</v>
      </c>
      <c r="I46" s="702">
        <v>0</v>
      </c>
      <c r="J46" s="702">
        <v>0</v>
      </c>
      <c r="K46" s="702">
        <v>0</v>
      </c>
      <c r="L46" s="702">
        <v>0</v>
      </c>
      <c r="M46" s="702">
        <v>0</v>
      </c>
      <c r="N46" s="702">
        <v>0</v>
      </c>
      <c r="O46" s="702">
        <v>0</v>
      </c>
      <c r="P46" s="702">
        <v>0</v>
      </c>
      <c r="Q46" s="702">
        <v>0</v>
      </c>
      <c r="R46" s="702">
        <v>0</v>
      </c>
      <c r="S46" s="702">
        <v>0</v>
      </c>
      <c r="T46" s="755">
        <v>0</v>
      </c>
      <c r="U46" s="755">
        <v>0</v>
      </c>
      <c r="V46" s="702">
        <v>0</v>
      </c>
      <c r="W46" s="702">
        <v>0</v>
      </c>
      <c r="X46" s="755">
        <v>0</v>
      </c>
      <c r="Y46" s="552">
        <f>SUM(E46:X46)</f>
        <v>929</v>
      </c>
      <c r="Z46" s="298"/>
      <c r="AA46" s="702">
        <v>0</v>
      </c>
      <c r="AB46" s="702">
        <v>0</v>
      </c>
      <c r="AC46" s="702">
        <v>0</v>
      </c>
      <c r="AD46" s="702">
        <v>0</v>
      </c>
      <c r="AE46" s="702">
        <v>0</v>
      </c>
      <c r="AF46" s="702">
        <v>0</v>
      </c>
      <c r="AG46" s="797">
        <v>0</v>
      </c>
      <c r="AH46" s="702">
        <v>0</v>
      </c>
      <c r="AI46" s="702">
        <v>0</v>
      </c>
      <c r="AJ46" s="702">
        <v>0</v>
      </c>
      <c r="AK46" s="702">
        <v>0</v>
      </c>
      <c r="AL46" s="702">
        <v>0</v>
      </c>
      <c r="AM46" s="702">
        <v>0</v>
      </c>
      <c r="AN46" s="702">
        <v>0</v>
      </c>
      <c r="AO46" s="702">
        <v>0</v>
      </c>
      <c r="AP46" s="702">
        <v>0</v>
      </c>
      <c r="AQ46" s="702">
        <v>0</v>
      </c>
      <c r="AR46" s="702">
        <v>0</v>
      </c>
      <c r="AS46" s="497">
        <v>0</v>
      </c>
      <c r="AT46" s="615">
        <f>SUM(Y46:AS46)</f>
        <v>929</v>
      </c>
      <c r="AU46" s="298"/>
      <c r="AV46" s="702">
        <v>0</v>
      </c>
      <c r="AW46" s="702">
        <v>0</v>
      </c>
      <c r="AX46" s="797">
        <v>0</v>
      </c>
      <c r="AY46" s="702">
        <v>0</v>
      </c>
      <c r="AZ46" s="702">
        <v>0</v>
      </c>
      <c r="BA46" s="702">
        <v>0</v>
      </c>
      <c r="BB46" s="702">
        <v>0</v>
      </c>
      <c r="BC46" s="702">
        <v>0</v>
      </c>
      <c r="BD46" s="702">
        <v>0</v>
      </c>
      <c r="BE46" s="702">
        <v>0</v>
      </c>
      <c r="BF46" s="895">
        <f>SUM(AT46:BE46)</f>
        <v>929</v>
      </c>
      <c r="BG46" s="647">
        <f>BF46-AT46</f>
        <v>0</v>
      </c>
      <c r="BK46" s="628"/>
      <c r="BL46" s="628"/>
    </row>
    <row r="47" spans="1:66">
      <c r="A47" s="113">
        <v>24</v>
      </c>
      <c r="B47" s="3" t="s">
        <v>52</v>
      </c>
      <c r="C47" s="3"/>
      <c r="E47" s="213">
        <f>SUM(E43:E46)</f>
        <v>28955</v>
      </c>
      <c r="F47" s="214">
        <f t="shared" ref="F47:N47" si="84">SUM(F43:F46)</f>
        <v>0</v>
      </c>
      <c r="G47" s="214">
        <f t="shared" si="84"/>
        <v>0</v>
      </c>
      <c r="H47" s="214">
        <f t="shared" si="84"/>
        <v>0</v>
      </c>
      <c r="I47" s="214">
        <f t="shared" si="84"/>
        <v>0</v>
      </c>
      <c r="J47" s="214">
        <f>SUM(J43:J46)</f>
        <v>0</v>
      </c>
      <c r="K47" s="214">
        <f t="shared" si="84"/>
        <v>0</v>
      </c>
      <c r="L47" s="214">
        <f t="shared" si="84"/>
        <v>9</v>
      </c>
      <c r="M47" s="214">
        <f t="shared" si="84"/>
        <v>-45</v>
      </c>
      <c r="N47" s="214">
        <f t="shared" si="84"/>
        <v>0</v>
      </c>
      <c r="O47" s="214">
        <f t="shared" ref="O47:P47" si="85">SUM(O43:O46)</f>
        <v>-17</v>
      </c>
      <c r="P47" s="214">
        <f t="shared" si="85"/>
        <v>0</v>
      </c>
      <c r="Q47" s="214">
        <f t="shared" ref="Q47:T47" si="86">SUM(Q43:Q46)</f>
        <v>0</v>
      </c>
      <c r="R47" s="214">
        <f t="shared" si="86"/>
        <v>17</v>
      </c>
      <c r="S47" s="214">
        <f t="shared" si="86"/>
        <v>2744</v>
      </c>
      <c r="T47" s="757">
        <f t="shared" si="86"/>
        <v>-467</v>
      </c>
      <c r="U47" s="757">
        <f>SUM(U43:U46)</f>
        <v>865</v>
      </c>
      <c r="V47" s="214">
        <f>SUM(V43:V46)</f>
        <v>0</v>
      </c>
      <c r="W47" s="214">
        <f>SUM(W43:W46)</f>
        <v>0</v>
      </c>
      <c r="X47" s="757">
        <f>SUM(X43:X46)</f>
        <v>0</v>
      </c>
      <c r="Y47" s="552">
        <f t="shared" ref="Y47" si="87">SUM(Y43:Y46)</f>
        <v>32061</v>
      </c>
      <c r="Z47" s="298"/>
      <c r="AA47" s="214">
        <f>SUM(AA43:AA46)</f>
        <v>-89</v>
      </c>
      <c r="AB47" s="214">
        <f>SUM(AB43:AB46)</f>
        <v>-497</v>
      </c>
      <c r="AC47" s="214">
        <f>SUM(AC43:AC46)</f>
        <v>0</v>
      </c>
      <c r="AD47" s="214">
        <f t="shared" ref="AD47" si="88">SUM(AD43:AD46)</f>
        <v>4117</v>
      </c>
      <c r="AE47" s="214">
        <f>SUM(AE43:AE46)</f>
        <v>-166</v>
      </c>
      <c r="AF47" s="214">
        <f>SUM(AF43:AF46)</f>
        <v>-390</v>
      </c>
      <c r="AG47" s="798">
        <f t="shared" ref="AG47" si="89">SUM(AG43:AG46)</f>
        <v>556</v>
      </c>
      <c r="AH47" s="214">
        <f>SUM(AH43:AH46)</f>
        <v>20</v>
      </c>
      <c r="AI47" s="214">
        <f t="shared" ref="AI47:AL47" si="90">SUM(AI43:AI46)</f>
        <v>-35</v>
      </c>
      <c r="AJ47" s="214">
        <f t="shared" ref="AJ47" si="91">SUM(AJ43:AJ46)</f>
        <v>-16</v>
      </c>
      <c r="AK47" s="214">
        <f t="shared" ref="AK47" si="92">SUM(AK43:AK46)</f>
        <v>0</v>
      </c>
      <c r="AL47" s="214">
        <f t="shared" si="90"/>
        <v>503</v>
      </c>
      <c r="AM47" s="214">
        <f>SUM(AM43:AM46)</f>
        <v>371</v>
      </c>
      <c r="AN47" s="214">
        <f t="shared" ref="AN47" si="93">SUM(AN43:AN46)</f>
        <v>683.76400000000001</v>
      </c>
      <c r="AO47" s="214">
        <f>SUM(AO43:AO46)</f>
        <v>206</v>
      </c>
      <c r="AP47" s="214">
        <f>SUM(AP43:AP46)</f>
        <v>-470</v>
      </c>
      <c r="AQ47" s="214">
        <f>SUM(AQ43:AQ46)</f>
        <v>-328</v>
      </c>
      <c r="AR47" s="214">
        <f>SUM(AR43:AR46)</f>
        <v>-95</v>
      </c>
      <c r="AS47" s="499">
        <f t="shared" ref="AS47" si="94">SUM(AS43:AS46)</f>
        <v>0</v>
      </c>
      <c r="AT47" s="615">
        <f t="shared" ref="AT47" si="95">SUM(AT43:AT46)</f>
        <v>36431.763999999996</v>
      </c>
      <c r="AU47" s="298"/>
      <c r="AV47" s="214">
        <f>SUM(AV43:AV46)</f>
        <v>0</v>
      </c>
      <c r="AW47" s="214">
        <f t="shared" ref="AW47" si="96">SUM(AW43:AW46)</f>
        <v>0</v>
      </c>
      <c r="AX47" s="798">
        <f t="shared" ref="AX47" si="97">SUM(AX43:AX46)</f>
        <v>193</v>
      </c>
      <c r="AY47" s="214">
        <f t="shared" ref="AY47:BA47" si="98">SUM(AY43:AY46)</f>
        <v>41</v>
      </c>
      <c r="AZ47" s="214">
        <f>SUM(AZ43:AZ46)</f>
        <v>0</v>
      </c>
      <c r="BA47" s="214">
        <f t="shared" si="98"/>
        <v>101</v>
      </c>
      <c r="BB47" s="214">
        <f>SUM(BB43:BB46)</f>
        <v>-195</v>
      </c>
      <c r="BC47" s="214">
        <f t="shared" ref="BC47" si="99">SUM(BC43:BC46)</f>
        <v>303.89499999999998</v>
      </c>
      <c r="BD47" s="214">
        <f>SUM(BD43:BD46)</f>
        <v>-909</v>
      </c>
      <c r="BE47" s="214">
        <f>SUM(BE43:BE46)</f>
        <v>-71</v>
      </c>
      <c r="BF47" s="898">
        <f>SUM(BF43:BF46)</f>
        <v>35895.659</v>
      </c>
      <c r="BG47" s="214">
        <f>SUM(BG43:BG46)</f>
        <v>-536.10499999999956</v>
      </c>
    </row>
    <row r="48" spans="1:66" ht="19.5" customHeight="1">
      <c r="A48" s="113">
        <v>25</v>
      </c>
      <c r="B48" s="1" t="s">
        <v>53</v>
      </c>
      <c r="C48" s="3"/>
      <c r="D48" s="3"/>
      <c r="E48" s="213">
        <f t="shared" ref="E48:AL48" si="100">E20+E24+E30+E36+E38+E39+E40+E47</f>
        <v>177983</v>
      </c>
      <c r="F48" s="214">
        <f t="shared" si="100"/>
        <v>0</v>
      </c>
      <c r="G48" s="214">
        <f t="shared" si="100"/>
        <v>0</v>
      </c>
      <c r="H48" s="214">
        <f t="shared" si="100"/>
        <v>0</v>
      </c>
      <c r="I48" s="214">
        <f t="shared" si="100"/>
        <v>-5540</v>
      </c>
      <c r="J48" s="214">
        <f>J20+J24+J30+J36+J38+J39+J40+J47</f>
        <v>1</v>
      </c>
      <c r="K48" s="214">
        <f t="shared" si="100"/>
        <v>1918</v>
      </c>
      <c r="L48" s="214">
        <f t="shared" si="100"/>
        <v>9</v>
      </c>
      <c r="M48" s="214">
        <f t="shared" si="100"/>
        <v>-45</v>
      </c>
      <c r="N48" s="214">
        <f t="shared" si="100"/>
        <v>0</v>
      </c>
      <c r="O48" s="214">
        <f t="shared" si="100"/>
        <v>-17</v>
      </c>
      <c r="P48" s="214">
        <f t="shared" si="100"/>
        <v>2</v>
      </c>
      <c r="Q48" s="214">
        <f t="shared" ref="Q48:T48" si="101">Q20+Q24+Q30+Q36+Q38+Q39+Q40+Q47</f>
        <v>-11</v>
      </c>
      <c r="R48" s="214">
        <f>R20+R24+R30+R36+R38+R39+R40+R47</f>
        <v>3467</v>
      </c>
      <c r="S48" s="214">
        <f t="shared" si="101"/>
        <v>-48840</v>
      </c>
      <c r="T48" s="757">
        <f t="shared" si="101"/>
        <v>-481</v>
      </c>
      <c r="U48" s="757">
        <f>U20+U24+U30+U36+U38+U39+U40+U47</f>
        <v>865</v>
      </c>
      <c r="V48" s="214">
        <f>V20+V24+V30+V36+V38+V39+V40+V47</f>
        <v>0</v>
      </c>
      <c r="W48" s="214">
        <f>W20+W24+W30+W36+W38+W39+W40+W47</f>
        <v>0</v>
      </c>
      <c r="X48" s="757">
        <f>X20+X24+X30+X36+X38+X39+X40+X47</f>
        <v>0</v>
      </c>
      <c r="Y48" s="552">
        <f t="shared" si="100"/>
        <v>129311</v>
      </c>
      <c r="Z48" s="298"/>
      <c r="AA48" s="214">
        <f t="shared" ref="AA48:AE48" si="102">AA20+AA24+AA30+AA36+AA38+AA39+AA40+AA47</f>
        <v>-52441</v>
      </c>
      <c r="AB48" s="214">
        <f t="shared" si="102"/>
        <v>-497</v>
      </c>
      <c r="AC48" s="214">
        <f t="shared" si="102"/>
        <v>0</v>
      </c>
      <c r="AD48" s="214">
        <f t="shared" si="102"/>
        <v>3417</v>
      </c>
      <c r="AE48" s="214">
        <f t="shared" si="102"/>
        <v>-166</v>
      </c>
      <c r="AF48" s="214">
        <f>AF20+AF24+AF30+AF36+AF38+AF39+AF40+AF47</f>
        <v>-390</v>
      </c>
      <c r="AG48" s="798">
        <f t="shared" ref="AG48" si="103">AG20+AG24+AG30+AG36+AG38+AG39+AG40+AG47</f>
        <v>1812.3</v>
      </c>
      <c r="AH48" s="214">
        <f t="shared" si="100"/>
        <v>20</v>
      </c>
      <c r="AI48" s="214">
        <f t="shared" si="100"/>
        <v>-120</v>
      </c>
      <c r="AJ48" s="214">
        <f t="shared" ref="AJ48" si="104">AJ20+AJ24+AJ30+AJ36+AJ38+AJ39+AJ40+AJ47</f>
        <v>-23.395</v>
      </c>
      <c r="AK48" s="214">
        <f t="shared" ref="AK48" si="105">AK20+AK24+AK30+AK36+AK38+AK39+AK40+AK47</f>
        <v>579</v>
      </c>
      <c r="AL48" s="214">
        <f t="shared" si="100"/>
        <v>503</v>
      </c>
      <c r="AM48" s="214">
        <f>AM20+AM24+AM30+AM36+AM38+AM39+AM40+AM47</f>
        <v>371</v>
      </c>
      <c r="AN48" s="214">
        <f t="shared" ref="AN48" si="106">AN20+AN24+AN30+AN36+AN38+AN39+AN40+AN47</f>
        <v>2249.4780000000001</v>
      </c>
      <c r="AO48" s="214">
        <f>AO20+AO24+AO30+AO36+AO38+AO39+AO40+AO47</f>
        <v>488</v>
      </c>
      <c r="AP48" s="214">
        <f t="shared" ref="AP48:AR48" si="107">AP20+AP24+AP30+AP36+AP38+AP39+AP40+AP47</f>
        <v>616</v>
      </c>
      <c r="AQ48" s="214">
        <f t="shared" si="107"/>
        <v>691</v>
      </c>
      <c r="AR48" s="214">
        <f t="shared" si="107"/>
        <v>-95</v>
      </c>
      <c r="AS48" s="499">
        <f t="shared" ref="AS48" si="108">AS20+AS24+AS30+AS36+AS38+AS39+AS40+AS47</f>
        <v>0</v>
      </c>
      <c r="AT48" s="615">
        <f t="shared" ref="AT48" si="109">AT20+AT24+AT30+AT36+AT38+AT39+AT40+AT47</f>
        <v>86325.383000000002</v>
      </c>
      <c r="AU48" s="298"/>
      <c r="AV48" s="214">
        <f>AV20+AV24+AV30+AV36+AV38+AV39+AV40+AV47</f>
        <v>0</v>
      </c>
      <c r="AW48" s="214">
        <f t="shared" ref="AW48:BA48" si="110">AW20+AW24+AW30+AW36+AW38+AW39+AW40+AW47</f>
        <v>-264</v>
      </c>
      <c r="AX48" s="798">
        <f t="shared" si="110"/>
        <v>552.1</v>
      </c>
      <c r="AY48" s="214">
        <f t="shared" si="110"/>
        <v>141</v>
      </c>
      <c r="AZ48" s="214">
        <f t="shared" si="110"/>
        <v>262</v>
      </c>
      <c r="BA48" s="214">
        <f t="shared" si="110"/>
        <v>101</v>
      </c>
      <c r="BB48" s="214">
        <f>BB20+BB24+BB30+BB36+BB38+BB39+BB40+BB47</f>
        <v>-195</v>
      </c>
      <c r="BC48" s="214">
        <f t="shared" ref="BC48" si="111">BC20+BC24+BC30+BC36+BC38+BC39+BC40+BC47</f>
        <v>999.76699999999994</v>
      </c>
      <c r="BD48" s="214">
        <f t="shared" ref="BD48" si="112">BD20+BD24+BD30+BD36+BD38+BD39+BD40+BD47</f>
        <v>-41</v>
      </c>
      <c r="BE48" s="214">
        <f t="shared" ref="BE48" si="113">BE20+BE24+BE30+BE36+BE38+BE39+BE40+BE47</f>
        <v>-71</v>
      </c>
      <c r="BF48" s="898">
        <f>BF20+BF24+BF30+BF36+BF38+BF39+BF40+BF47</f>
        <v>87810.25</v>
      </c>
      <c r="BG48" s="214">
        <f>BG20+BG24+BG30+BG36+BG38+BG39+BG40+BG47</f>
        <v>1484.8670000000002</v>
      </c>
    </row>
    <row r="49" spans="1:66" ht="9" customHeight="1">
      <c r="C49" s="3"/>
      <c r="D49" s="3"/>
      <c r="E49" s="211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756"/>
      <c r="U49" s="756"/>
      <c r="V49" s="253"/>
      <c r="W49" s="253"/>
      <c r="X49" s="756"/>
      <c r="Y49" s="288"/>
      <c r="Z49" s="298"/>
      <c r="AA49" s="253"/>
      <c r="AB49" s="253"/>
      <c r="AC49" s="253"/>
      <c r="AD49" s="253"/>
      <c r="AE49" s="253"/>
      <c r="AF49" s="253"/>
      <c r="AG49" s="173"/>
      <c r="AH49" s="253"/>
      <c r="AI49" s="253"/>
      <c r="AJ49" s="253"/>
      <c r="AK49" s="253"/>
      <c r="AL49" s="253"/>
      <c r="AM49" s="253"/>
      <c r="AN49" s="253"/>
      <c r="AO49" s="253"/>
      <c r="AP49" s="445"/>
      <c r="AQ49" s="445"/>
      <c r="AR49" s="445"/>
      <c r="AS49" s="498"/>
      <c r="AT49" s="614"/>
      <c r="AU49" s="298"/>
      <c r="AV49" s="253"/>
      <c r="AW49" s="253"/>
      <c r="AX49" s="173"/>
      <c r="AY49" s="253"/>
      <c r="AZ49" s="253"/>
      <c r="BA49" s="253"/>
      <c r="BB49" s="253"/>
      <c r="BC49" s="253"/>
      <c r="BD49" s="445"/>
      <c r="BE49" s="445"/>
      <c r="BF49" s="896"/>
      <c r="BG49" s="253"/>
    </row>
    <row r="50" spans="1:66" ht="12.95" customHeight="1">
      <c r="A50" s="113">
        <v>26</v>
      </c>
      <c r="B50" s="1" t="s">
        <v>54</v>
      </c>
      <c r="C50" s="3"/>
      <c r="D50" s="3"/>
      <c r="E50" s="211">
        <f t="shared" ref="E50:P50" si="114">E17-E48</f>
        <v>32011</v>
      </c>
      <c r="F50" s="253">
        <f t="shared" si="114"/>
        <v>0</v>
      </c>
      <c r="G50" s="253">
        <f t="shared" si="114"/>
        <v>0</v>
      </c>
      <c r="H50" s="253">
        <f t="shared" si="114"/>
        <v>0</v>
      </c>
      <c r="I50" s="253">
        <f t="shared" si="114"/>
        <v>1</v>
      </c>
      <c r="J50" s="253">
        <f>J17-J48</f>
        <v>-1</v>
      </c>
      <c r="K50" s="253">
        <f t="shared" si="114"/>
        <v>-1918</v>
      </c>
      <c r="L50" s="253">
        <f t="shared" si="114"/>
        <v>-9</v>
      </c>
      <c r="M50" s="253">
        <f t="shared" si="114"/>
        <v>45</v>
      </c>
      <c r="N50" s="253">
        <f t="shared" si="114"/>
        <v>0</v>
      </c>
      <c r="O50" s="253">
        <f t="shared" si="114"/>
        <v>17</v>
      </c>
      <c r="P50" s="253">
        <f t="shared" si="114"/>
        <v>-2</v>
      </c>
      <c r="Q50" s="253">
        <f t="shared" ref="Q50:T50" si="115">Q17-Q48</f>
        <v>11</v>
      </c>
      <c r="R50" s="253">
        <f t="shared" si="115"/>
        <v>0</v>
      </c>
      <c r="S50" s="253">
        <f t="shared" si="115"/>
        <v>0</v>
      </c>
      <c r="T50" s="756">
        <f t="shared" si="115"/>
        <v>481</v>
      </c>
      <c r="U50" s="756">
        <f>U17-U48</f>
        <v>-865</v>
      </c>
      <c r="V50" s="253">
        <f>V17-V48</f>
        <v>0</v>
      </c>
      <c r="W50" s="253">
        <f>W17-W48</f>
        <v>0</v>
      </c>
      <c r="X50" s="756">
        <f>X17-X48</f>
        <v>0</v>
      </c>
      <c r="Y50" s="288">
        <f>SUM(E50:X50)</f>
        <v>29771</v>
      </c>
      <c r="Z50" s="298"/>
      <c r="AA50" s="253">
        <f>AA17-AA48</f>
        <v>8698</v>
      </c>
      <c r="AB50" s="253">
        <f>AB17-AB48</f>
        <v>497</v>
      </c>
      <c r="AC50" s="253">
        <f>AC17-AC48</f>
        <v>0</v>
      </c>
      <c r="AD50" s="253">
        <f t="shared" ref="AD50" si="116">AD17-AD48</f>
        <v>-3417</v>
      </c>
      <c r="AE50" s="253">
        <f>AE17-AE48</f>
        <v>166</v>
      </c>
      <c r="AF50" s="253">
        <f>AF17-AF48</f>
        <v>390</v>
      </c>
      <c r="AG50" s="173">
        <f t="shared" ref="AG50" si="117">AG17-AG48</f>
        <v>-1812.3</v>
      </c>
      <c r="AH50" s="253">
        <f t="shared" ref="AH50:AL50" si="118">AH17-AH48</f>
        <v>-20</v>
      </c>
      <c r="AI50" s="253">
        <f t="shared" si="118"/>
        <v>120</v>
      </c>
      <c r="AJ50" s="253">
        <f t="shared" ref="AJ50" si="119">AJ17-AJ48</f>
        <v>23.395</v>
      </c>
      <c r="AK50" s="253">
        <f t="shared" ref="AK50" si="120">AK17-AK48</f>
        <v>-579</v>
      </c>
      <c r="AL50" s="253">
        <f t="shared" si="118"/>
        <v>-503</v>
      </c>
      <c r="AM50" s="253">
        <f>AM17-AM48</f>
        <v>-371</v>
      </c>
      <c r="AN50" s="253">
        <f t="shared" ref="AN50" si="121">AN17-AN48</f>
        <v>-2249.4780000000001</v>
      </c>
      <c r="AO50" s="253">
        <f>AO17-AO48</f>
        <v>-488</v>
      </c>
      <c r="AP50" s="445">
        <f>AP17-AP48</f>
        <v>-616</v>
      </c>
      <c r="AQ50" s="445">
        <f>AQ17-AQ48</f>
        <v>-691</v>
      </c>
      <c r="AR50" s="445">
        <f>AR17-AR48</f>
        <v>3486</v>
      </c>
      <c r="AS50" s="498">
        <f t="shared" ref="AS50" si="122">AS17-AS48</f>
        <v>0</v>
      </c>
      <c r="AT50" s="614">
        <f t="shared" ref="AT50" si="123">AT17-AT48</f>
        <v>32404.616999999998</v>
      </c>
      <c r="AU50" s="298"/>
      <c r="AV50" s="253">
        <f>AV17-AV48</f>
        <v>0</v>
      </c>
      <c r="AW50" s="253">
        <f t="shared" ref="AW50" si="124">AW17-AW48</f>
        <v>264</v>
      </c>
      <c r="AX50" s="173">
        <f t="shared" ref="AX50:BA50" si="125">AX17-AX48</f>
        <v>-552.1</v>
      </c>
      <c r="AY50" s="253">
        <f t="shared" si="125"/>
        <v>-141</v>
      </c>
      <c r="AZ50" s="253">
        <f>AZ17-AZ48</f>
        <v>-262</v>
      </c>
      <c r="BA50" s="253">
        <f t="shared" si="125"/>
        <v>-101</v>
      </c>
      <c r="BB50" s="253">
        <f>BB17-BB48</f>
        <v>195</v>
      </c>
      <c r="BC50" s="253">
        <f t="shared" ref="BC50" si="126">BC17-BC48</f>
        <v>-999.76699999999994</v>
      </c>
      <c r="BD50" s="445">
        <f>BD17-BD48</f>
        <v>41</v>
      </c>
      <c r="BE50" s="445">
        <f>BE17-BE48</f>
        <v>1428</v>
      </c>
      <c r="BF50" s="896">
        <f>BF17-BF48</f>
        <v>32276.75</v>
      </c>
      <c r="BG50" s="253">
        <f>BG17-BG48</f>
        <v>-127.86700000000019</v>
      </c>
    </row>
    <row r="51" spans="1:66" ht="6" customHeight="1">
      <c r="C51" s="3"/>
      <c r="D51" s="3"/>
      <c r="E51" s="211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756"/>
      <c r="U51" s="756"/>
      <c r="V51" s="253"/>
      <c r="W51" s="253"/>
      <c r="X51" s="756"/>
      <c r="Y51" s="288"/>
      <c r="Z51" s="298"/>
      <c r="AA51" s="253"/>
      <c r="AB51" s="253"/>
      <c r="AC51" s="253"/>
      <c r="AD51" s="253"/>
      <c r="AE51" s="253"/>
      <c r="AF51" s="253"/>
      <c r="AG51" s="173"/>
      <c r="AH51" s="253"/>
      <c r="AI51" s="253"/>
      <c r="AJ51" s="253"/>
      <c r="AK51" s="253"/>
      <c r="AL51" s="253"/>
      <c r="AM51" s="253"/>
      <c r="AN51" s="253"/>
      <c r="AO51" s="253"/>
      <c r="AP51" s="445"/>
      <c r="AQ51" s="445"/>
      <c r="AR51" s="445"/>
      <c r="AS51" s="498"/>
      <c r="AT51" s="614"/>
      <c r="AU51" s="298"/>
      <c r="AV51" s="253"/>
      <c r="AW51" s="253"/>
      <c r="AX51" s="173"/>
      <c r="AY51" s="253"/>
      <c r="AZ51" s="253"/>
      <c r="BA51" s="253"/>
      <c r="BB51" s="253"/>
      <c r="BC51" s="253"/>
      <c r="BD51" s="445"/>
      <c r="BE51" s="445"/>
      <c r="BF51" s="896"/>
      <c r="BG51" s="253"/>
    </row>
    <row r="52" spans="1:66" ht="12.95" customHeight="1">
      <c r="B52" s="1" t="s">
        <v>55</v>
      </c>
      <c r="C52" s="3"/>
      <c r="D52" s="3"/>
      <c r="E52" s="211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754"/>
      <c r="U52" s="754"/>
      <c r="V52" s="648"/>
      <c r="W52" s="648"/>
      <c r="X52" s="754"/>
      <c r="Y52" s="288"/>
      <c r="Z52" s="298"/>
      <c r="AA52" s="648"/>
      <c r="AB52" s="648"/>
      <c r="AC52" s="648"/>
      <c r="AD52" s="648"/>
      <c r="AE52" s="648"/>
      <c r="AF52" s="648"/>
      <c r="AG52" s="796"/>
      <c r="AH52" s="648"/>
      <c r="AI52" s="648"/>
      <c r="AJ52" s="648"/>
      <c r="AK52" s="648"/>
      <c r="AL52" s="648"/>
      <c r="AM52" s="648"/>
      <c r="AN52" s="648"/>
      <c r="AO52" s="648"/>
      <c r="AP52" s="703"/>
      <c r="AQ52" s="703"/>
      <c r="AR52" s="703"/>
      <c r="AS52" s="496"/>
      <c r="AT52" s="614"/>
      <c r="AU52" s="298"/>
      <c r="AV52" s="648"/>
      <c r="AW52" s="648"/>
      <c r="AX52" s="796"/>
      <c r="AY52" s="648"/>
      <c r="AZ52" s="648"/>
      <c r="BA52" s="648"/>
      <c r="BB52" s="648"/>
      <c r="BC52" s="648"/>
      <c r="BD52" s="703"/>
      <c r="BE52" s="703"/>
      <c r="BF52" s="897"/>
      <c r="BG52" s="648"/>
    </row>
    <row r="53" spans="1:66">
      <c r="A53" s="113">
        <v>27</v>
      </c>
      <c r="B53" s="3" t="s">
        <v>56</v>
      </c>
      <c r="D53" s="3"/>
      <c r="E53" s="211">
        <f>'ROO INPUT 1.00'!$F54</f>
        <v>-3545</v>
      </c>
      <c r="F53" s="648">
        <f t="shared" ref="F53:M53" si="127">F50*0.21</f>
        <v>0</v>
      </c>
      <c r="G53" s="648">
        <f t="shared" si="127"/>
        <v>0</v>
      </c>
      <c r="H53" s="648">
        <f t="shared" si="127"/>
        <v>0</v>
      </c>
      <c r="I53" s="648">
        <f t="shared" si="127"/>
        <v>0.21</v>
      </c>
      <c r="J53" s="648">
        <f t="shared" si="127"/>
        <v>-0.21</v>
      </c>
      <c r="K53" s="648">
        <f t="shared" si="127"/>
        <v>-402.78</v>
      </c>
      <c r="L53" s="648">
        <f t="shared" si="127"/>
        <v>-1.89</v>
      </c>
      <c r="M53" s="648">
        <f t="shared" si="127"/>
        <v>9.4499999999999993</v>
      </c>
      <c r="N53" s="648">
        <v>0</v>
      </c>
      <c r="O53" s="648">
        <f t="shared" ref="O53:U53" si="128">O50*0.21</f>
        <v>3.57</v>
      </c>
      <c r="P53" s="648">
        <f t="shared" si="128"/>
        <v>-0.42</v>
      </c>
      <c r="Q53" s="648">
        <f t="shared" si="128"/>
        <v>2.31</v>
      </c>
      <c r="R53" s="648">
        <f t="shared" si="128"/>
        <v>0</v>
      </c>
      <c r="S53" s="648">
        <f t="shared" si="128"/>
        <v>0</v>
      </c>
      <c r="T53" s="754">
        <f t="shared" si="128"/>
        <v>101.00999999999999</v>
      </c>
      <c r="U53" s="754">
        <f t="shared" si="128"/>
        <v>-181.65</v>
      </c>
      <c r="V53" s="648">
        <f>'DEBT CALC 2.14'!E72</f>
        <v>251</v>
      </c>
      <c r="W53" s="648">
        <f>W50*0.21</f>
        <v>0</v>
      </c>
      <c r="X53" s="754">
        <f t="shared" ref="X53" si="129">X50*0.21</f>
        <v>0</v>
      </c>
      <c r="Y53" s="288">
        <f>SUM(E53:X53)</f>
        <v>-3764.4</v>
      </c>
      <c r="Z53" s="298"/>
      <c r="AA53" s="648">
        <f t="shared" ref="AA53:AS53" si="130">AA50*0.21</f>
        <v>1826.58</v>
      </c>
      <c r="AB53" s="648">
        <f t="shared" ref="AB53:AC53" si="131">AB50*0.21</f>
        <v>104.36999999999999</v>
      </c>
      <c r="AC53" s="648">
        <f t="shared" si="131"/>
        <v>0</v>
      </c>
      <c r="AD53" s="648">
        <f t="shared" ref="AD53" si="132">AD50*0.21</f>
        <v>-717.56999999999994</v>
      </c>
      <c r="AE53" s="648">
        <f t="shared" ref="AE53" si="133">AE50*0.21</f>
        <v>34.86</v>
      </c>
      <c r="AF53" s="648">
        <f>AF50*0.21</f>
        <v>81.899999999999991</v>
      </c>
      <c r="AG53" s="796">
        <f t="shared" si="130"/>
        <v>-380.58299999999997</v>
      </c>
      <c r="AH53" s="648">
        <f t="shared" si="130"/>
        <v>-4.2</v>
      </c>
      <c r="AI53" s="648">
        <f t="shared" si="130"/>
        <v>25.2</v>
      </c>
      <c r="AJ53" s="648">
        <f t="shared" ref="AJ53" si="134">AJ50*0.21</f>
        <v>4.9129499999999995</v>
      </c>
      <c r="AK53" s="648">
        <f>AK50*0.21</f>
        <v>-121.58999999999999</v>
      </c>
      <c r="AL53" s="648">
        <f t="shared" ref="AL53" si="135">AL50*0.21</f>
        <v>-105.63</v>
      </c>
      <c r="AM53" s="648">
        <f t="shared" si="130"/>
        <v>-77.91</v>
      </c>
      <c r="AN53" s="648">
        <f t="shared" ref="AN53" si="136">AN50*0.21</f>
        <v>-472.39037999999999</v>
      </c>
      <c r="AO53" s="648">
        <f>AO50*0.21</f>
        <v>-102.47999999999999</v>
      </c>
      <c r="AP53" s="648">
        <f>AP50*0.21</f>
        <v>-129.35999999999999</v>
      </c>
      <c r="AQ53" s="648">
        <f t="shared" ref="AQ53:AR53" si="137">AQ50*0.21</f>
        <v>-145.10999999999999</v>
      </c>
      <c r="AR53" s="648">
        <f t="shared" si="137"/>
        <v>732.06</v>
      </c>
      <c r="AS53" s="496">
        <f t="shared" si="130"/>
        <v>0</v>
      </c>
      <c r="AT53" s="614">
        <f>SUM(Y53:AS53)</f>
        <v>-3211.3404300000007</v>
      </c>
      <c r="AU53" s="298"/>
      <c r="AV53" s="648">
        <f>AV50*0.21</f>
        <v>0</v>
      </c>
      <c r="AW53" s="648">
        <f t="shared" ref="AW53:BA53" si="138">AW50*0.21</f>
        <v>55.44</v>
      </c>
      <c r="AX53" s="796">
        <f t="shared" si="138"/>
        <v>-115.941</v>
      </c>
      <c r="AY53" s="648">
        <f t="shared" si="138"/>
        <v>-29.61</v>
      </c>
      <c r="AZ53" s="648">
        <f t="shared" si="138"/>
        <v>-55.019999999999996</v>
      </c>
      <c r="BA53" s="648">
        <f t="shared" si="138"/>
        <v>-21.21</v>
      </c>
      <c r="BB53" s="648">
        <f>BB50*0.21</f>
        <v>40.949999999999996</v>
      </c>
      <c r="BC53" s="648">
        <f t="shared" ref="BC53" si="139">BC50*0.21</f>
        <v>-209.95106999999999</v>
      </c>
      <c r="BD53" s="648">
        <f t="shared" ref="BD53" si="140">BD50*0.21</f>
        <v>8.61</v>
      </c>
      <c r="BE53" s="648">
        <f t="shared" ref="BE53" si="141">BE50*0.21</f>
        <v>299.88</v>
      </c>
      <c r="BF53" s="894">
        <f>SUM(AT53:BE53)</f>
        <v>-3238.1925000000006</v>
      </c>
      <c r="BG53" s="646">
        <f>BF53-AT53</f>
        <v>-26.852069999999912</v>
      </c>
    </row>
    <row r="54" spans="1:66">
      <c r="A54" s="113">
        <v>28</v>
      </c>
      <c r="B54" s="3" t="s">
        <v>173</v>
      </c>
      <c r="D54" s="3"/>
      <c r="E54" s="211">
        <f>'ROO INPUT 1.00'!$F55</f>
        <v>0</v>
      </c>
      <c r="F54" s="648">
        <f>(F81*'RR SUMMARY'!$Q$12)*-0.21</f>
        <v>-1.115478</v>
      </c>
      <c r="G54" s="648">
        <f>(G81*'RR SUMMARY'!$Q$12)*-0.21</f>
        <v>-4.914E-3</v>
      </c>
      <c r="H54" s="648">
        <f>(H81*'RR SUMMARY'!$Q$12)*-0.21</f>
        <v>0.78624000000000005</v>
      </c>
      <c r="I54" s="648">
        <f>(I81*'RR SUMMARY'!$Q$12)*-0.21</f>
        <v>0</v>
      </c>
      <c r="J54" s="648">
        <f>(J81*'RR SUMMARY'!$Q$12)*-0.21</f>
        <v>0</v>
      </c>
      <c r="K54" s="648">
        <f>(K81*'RR SUMMARY'!$Q$12)*-0.21</f>
        <v>0</v>
      </c>
      <c r="L54" s="648">
        <f>(L81*'RR SUMMARY'!$Q$12)*-0.21</f>
        <v>0</v>
      </c>
      <c r="M54" s="648">
        <f>(M81*'RR SUMMARY'!$Q$12)*-0.21</f>
        <v>0</v>
      </c>
      <c r="N54" s="648"/>
      <c r="O54" s="648">
        <f>(O81*'RR SUMMARY'!$Q$12)*-0.21</f>
        <v>0</v>
      </c>
      <c r="P54" s="648">
        <f>(P81*'RR SUMMARY'!$Q$12)*-0.21</f>
        <v>0</v>
      </c>
      <c r="Q54" s="648">
        <f>(Q81*'RR SUMMARY'!$Q$12)*-0.21</f>
        <v>0</v>
      </c>
      <c r="R54" s="648">
        <f>(R81*'RR SUMMARY'!$Q$12)*-0.21</f>
        <v>0</v>
      </c>
      <c r="S54" s="648">
        <f>(S81*'RR SUMMARY'!$Q$12)*-0.21</f>
        <v>0</v>
      </c>
      <c r="T54" s="754">
        <f>(T81*'RR SUMMARY'!$Q$12)*-0.21</f>
        <v>0</v>
      </c>
      <c r="U54" s="754">
        <f>(U81*'RR SUMMARY'!$Q$12)*-0.21</f>
        <v>0</v>
      </c>
      <c r="V54" s="648"/>
      <c r="W54" s="648">
        <f>(W81*'RR SUMMARY'!$Q$12)*-0.21</f>
        <v>-130.19643000000002</v>
      </c>
      <c r="X54" s="754">
        <f>(X81*'RR SUMMARY'!$Q$12)*-0.21</f>
        <v>59.980284000000005</v>
      </c>
      <c r="Y54" s="288">
        <f>SUM(E54:X54)</f>
        <v>-70.550297999999998</v>
      </c>
      <c r="Z54" s="298"/>
      <c r="AA54" s="648">
        <f>(AA81*'RR SUMMARY'!$Q$12)*-0.21</f>
        <v>0</v>
      </c>
      <c r="AB54" s="648">
        <f>(AB81*'RR SUMMARY'!$Q$12)*-0.21</f>
        <v>0</v>
      </c>
      <c r="AC54" s="648">
        <f>(AC81*'RR SUMMARY'!$Q$12)*-0.21</f>
        <v>0</v>
      </c>
      <c r="AD54" s="648">
        <f>(AD81*'RR SUMMARY'!$Q$12)*-0.21</f>
        <v>-42.343938000000001</v>
      </c>
      <c r="AE54" s="648">
        <f>(AE81*'RR SUMMARY'!$Q$12)*-0.21</f>
        <v>0</v>
      </c>
      <c r="AF54" s="648">
        <f>(AF81*'RR SUMMARY'!$Q$12)*-0.21</f>
        <v>20.648628000000002</v>
      </c>
      <c r="AG54" s="796">
        <f>(AG81*'RR SUMMARY'!$Q$12)*-0.21</f>
        <v>0</v>
      </c>
      <c r="AH54" s="648">
        <f>(AH81*'RR SUMMARY'!$Q$12)*-0.21</f>
        <v>0</v>
      </c>
      <c r="AI54" s="648">
        <f>(AI81*'RR SUMMARY'!$Q$12)*-0.21</f>
        <v>0</v>
      </c>
      <c r="AJ54" s="648">
        <f>(AJ81*'RR SUMMARY'!$Q$12)*-0.21</f>
        <v>0</v>
      </c>
      <c r="AK54" s="648">
        <f>(AK81*'RR SUMMARY'!$Q$12)*-0.21</f>
        <v>0</v>
      </c>
      <c r="AL54" s="648">
        <f>(AL81*'RR SUMMARY'!$Q$12)*-0.21</f>
        <v>0</v>
      </c>
      <c r="AM54" s="648">
        <f>(AM81*'RR SUMMARY'!$Q$12)*-0.21</f>
        <v>0</v>
      </c>
      <c r="AN54" s="648">
        <f>(AN81*'RR SUMMARY'!$Q$12)*-0.21</f>
        <v>0</v>
      </c>
      <c r="AO54" s="648">
        <f>(AO81*'RR SUMMARY'!$Q$12)*-0.21</f>
        <v>-52.815671999999999</v>
      </c>
      <c r="AP54" s="648">
        <f>(AP81*'RR SUMMARY'!$Q$12)*-0.21</f>
        <v>-157.43964600000001</v>
      </c>
      <c r="AQ54" s="648">
        <f>(AQ81*'RR SUMMARY'!$Q$12)*-0.21</f>
        <v>-32.368518000000002</v>
      </c>
      <c r="AR54" s="648">
        <f>(AR81*'RR SUMMARY'!$Q$12)*-0.21</f>
        <v>0</v>
      </c>
      <c r="AS54" s="496">
        <f>(AS81*'RR SUMMARY'!$Q$12)*-0.21</f>
        <v>0</v>
      </c>
      <c r="AT54" s="614">
        <f>SUM(Y54:AS54)</f>
        <v>-334.86944400000004</v>
      </c>
      <c r="AU54" s="298"/>
      <c r="AV54" s="648">
        <f>(AV81*'RR SUMMARY'!$Q$12)*-0.21</f>
        <v>0</v>
      </c>
      <c r="AW54" s="648">
        <f>(AW81*'RR SUMMARY'!$Q$12)*-0.21</f>
        <v>4.1670720000000001</v>
      </c>
      <c r="AX54" s="796">
        <f>(AX81*'RR SUMMARY'!$Q$12)*-0.21</f>
        <v>0</v>
      </c>
      <c r="AY54" s="648">
        <f>(AY81*'RR SUMMARY'!$Q$12)*-0.21</f>
        <v>0</v>
      </c>
      <c r="AZ54" s="648">
        <f>(AZ81*'RR SUMMARY'!$Q$12)*-0.21</f>
        <v>0</v>
      </c>
      <c r="BA54" s="648">
        <f>(BA81*'RR SUMMARY'!$Q$12)*-0.21</f>
        <v>0</v>
      </c>
      <c r="BB54" s="648">
        <f>(BB81*'RR SUMMARY'!$Q$12)*-0.21</f>
        <v>6.1425000000000001</v>
      </c>
      <c r="BC54" s="648">
        <f>(BC81*'RR SUMMARY'!$Q$12)*-0.21</f>
        <v>0</v>
      </c>
      <c r="BD54" s="648">
        <f>(BD81*'RR SUMMARY'!$Q$12)*-0.21</f>
        <v>-109.080972</v>
      </c>
      <c r="BE54" s="648">
        <f>(BE81*'RR SUMMARY'!$Q$12)*-0.21</f>
        <v>0</v>
      </c>
      <c r="BF54" s="894">
        <f>SUM(AT54:BE54)</f>
        <v>-433.64084400000002</v>
      </c>
      <c r="BG54" s="646">
        <f>BF54-AT54</f>
        <v>-98.771399999999971</v>
      </c>
    </row>
    <row r="55" spans="1:66">
      <c r="A55" s="113">
        <v>29</v>
      </c>
      <c r="B55" s="3" t="s">
        <v>57</v>
      </c>
      <c r="D55" s="3"/>
      <c r="E55" s="211">
        <f>'ROO INPUT 1.00'!$F56</f>
        <v>6172</v>
      </c>
      <c r="F55" s="648">
        <v>0</v>
      </c>
      <c r="G55" s="648">
        <v>0</v>
      </c>
      <c r="H55" s="648">
        <v>0</v>
      </c>
      <c r="I55" s="648">
        <v>0</v>
      </c>
      <c r="J55" s="648">
        <v>0</v>
      </c>
      <c r="K55" s="648">
        <v>0</v>
      </c>
      <c r="L55" s="648">
        <v>0</v>
      </c>
      <c r="M55" s="648">
        <v>0</v>
      </c>
      <c r="N55" s="648">
        <v>363</v>
      </c>
      <c r="O55" s="648">
        <v>0</v>
      </c>
      <c r="P55" s="648">
        <v>0</v>
      </c>
      <c r="Q55" s="648">
        <v>0</v>
      </c>
      <c r="R55" s="648">
        <v>0</v>
      </c>
      <c r="S55" s="648">
        <v>0</v>
      </c>
      <c r="T55" s="754">
        <v>0</v>
      </c>
      <c r="U55" s="754">
        <v>0</v>
      </c>
      <c r="V55" s="648">
        <v>0</v>
      </c>
      <c r="W55" s="648">
        <v>0</v>
      </c>
      <c r="X55" s="754">
        <v>0</v>
      </c>
      <c r="Y55" s="288">
        <f>SUM(E55:X55)</f>
        <v>6535</v>
      </c>
      <c r="Z55" s="298"/>
      <c r="AA55" s="648">
        <v>0</v>
      </c>
      <c r="AB55" s="648">
        <v>0</v>
      </c>
      <c r="AC55" s="648">
        <v>27</v>
      </c>
      <c r="AD55" s="648">
        <v>0</v>
      </c>
      <c r="AE55" s="648">
        <v>0</v>
      </c>
      <c r="AF55" s="648">
        <v>0</v>
      </c>
      <c r="AG55" s="796">
        <v>0</v>
      </c>
      <c r="AH55" s="648">
        <v>0</v>
      </c>
      <c r="AI55" s="648">
        <v>0</v>
      </c>
      <c r="AJ55" s="648">
        <v>0</v>
      </c>
      <c r="AK55" s="648">
        <v>0</v>
      </c>
      <c r="AL55" s="648">
        <v>0</v>
      </c>
      <c r="AM55" s="648">
        <v>0</v>
      </c>
      <c r="AN55" s="648">
        <v>0</v>
      </c>
      <c r="AO55" s="648">
        <v>0</v>
      </c>
      <c r="AP55" s="703">
        <v>0</v>
      </c>
      <c r="AQ55" s="703">
        <v>0</v>
      </c>
      <c r="AR55" s="703">
        <v>0</v>
      </c>
      <c r="AS55" s="496">
        <v>0</v>
      </c>
      <c r="AT55" s="614">
        <f>SUM(Y55:AS55)</f>
        <v>6562</v>
      </c>
      <c r="AU55" s="298"/>
      <c r="AV55" s="648">
        <v>169</v>
      </c>
      <c r="AW55" s="648">
        <v>0</v>
      </c>
      <c r="AX55" s="796">
        <v>0</v>
      </c>
      <c r="AY55" s="648">
        <v>0</v>
      </c>
      <c r="AZ55" s="648">
        <v>0</v>
      </c>
      <c r="BA55" s="648">
        <v>0</v>
      </c>
      <c r="BB55" s="648">
        <v>0</v>
      </c>
      <c r="BC55" s="648">
        <v>0</v>
      </c>
      <c r="BD55" s="703">
        <v>0</v>
      </c>
      <c r="BE55" s="703">
        <v>0</v>
      </c>
      <c r="BF55" s="894">
        <f>SUM(AT55:BE55)</f>
        <v>6731</v>
      </c>
      <c r="BG55" s="646">
        <f>BF55-AT55</f>
        <v>169</v>
      </c>
    </row>
    <row r="56" spans="1:66">
      <c r="A56" s="113">
        <v>30</v>
      </c>
      <c r="B56" s="3" t="s">
        <v>58</v>
      </c>
      <c r="D56" s="3"/>
      <c r="E56" s="213">
        <f>'ROO INPUT 1.00'!$F57</f>
        <v>-2</v>
      </c>
      <c r="F56" s="702"/>
      <c r="G56" s="702"/>
      <c r="H56" s="702"/>
      <c r="I56" s="702">
        <v>0</v>
      </c>
      <c r="J56" s="702">
        <v>0</v>
      </c>
      <c r="K56" s="702">
        <v>0</v>
      </c>
      <c r="L56" s="702">
        <v>0</v>
      </c>
      <c r="M56" s="702">
        <v>0</v>
      </c>
      <c r="N56" s="702">
        <v>0</v>
      </c>
      <c r="O56" s="702">
        <v>0</v>
      </c>
      <c r="P56" s="702">
        <v>0</v>
      </c>
      <c r="Q56" s="702">
        <v>0</v>
      </c>
      <c r="R56" s="702">
        <v>0</v>
      </c>
      <c r="S56" s="702">
        <v>0</v>
      </c>
      <c r="T56" s="755">
        <v>0</v>
      </c>
      <c r="U56" s="755">
        <v>0</v>
      </c>
      <c r="V56" s="702">
        <v>0</v>
      </c>
      <c r="W56" s="702">
        <v>0</v>
      </c>
      <c r="X56" s="755">
        <v>0</v>
      </c>
      <c r="Y56" s="552">
        <f>SUM(E56:X56)</f>
        <v>-2</v>
      </c>
      <c r="Z56" s="298"/>
      <c r="AA56" s="702">
        <v>0</v>
      </c>
      <c r="AB56" s="702">
        <v>0</v>
      </c>
      <c r="AC56" s="702">
        <v>0</v>
      </c>
      <c r="AD56" s="702">
        <v>0</v>
      </c>
      <c r="AE56" s="702">
        <v>0</v>
      </c>
      <c r="AF56" s="702">
        <v>0</v>
      </c>
      <c r="AG56" s="797">
        <v>0</v>
      </c>
      <c r="AH56" s="702">
        <v>0</v>
      </c>
      <c r="AI56" s="702">
        <v>0</v>
      </c>
      <c r="AJ56" s="702">
        <v>0</v>
      </c>
      <c r="AK56" s="702">
        <v>0</v>
      </c>
      <c r="AL56" s="702">
        <v>0</v>
      </c>
      <c r="AM56" s="702">
        <v>0</v>
      </c>
      <c r="AN56" s="702">
        <v>0</v>
      </c>
      <c r="AO56" s="702">
        <v>0</v>
      </c>
      <c r="AP56" s="702">
        <v>0</v>
      </c>
      <c r="AQ56" s="702">
        <v>0</v>
      </c>
      <c r="AR56" s="702">
        <v>0</v>
      </c>
      <c r="AS56" s="497">
        <v>0</v>
      </c>
      <c r="AT56" s="615">
        <f>SUM(Y56:AS56)</f>
        <v>-2</v>
      </c>
      <c r="AU56" s="298"/>
      <c r="AV56" s="702">
        <v>0</v>
      </c>
      <c r="AW56" s="702">
        <v>0</v>
      </c>
      <c r="AX56" s="797">
        <v>0</v>
      </c>
      <c r="AY56" s="702">
        <v>0</v>
      </c>
      <c r="AZ56" s="702">
        <v>0</v>
      </c>
      <c r="BA56" s="702">
        <v>0</v>
      </c>
      <c r="BB56" s="702">
        <v>0</v>
      </c>
      <c r="BC56" s="702">
        <v>0</v>
      </c>
      <c r="BD56" s="702">
        <v>0</v>
      </c>
      <c r="BE56" s="702">
        <v>0</v>
      </c>
      <c r="BF56" s="895">
        <f>SUM(AT56:BE56)</f>
        <v>-2</v>
      </c>
      <c r="BG56" s="647">
        <f>BF56-AT56</f>
        <v>0</v>
      </c>
    </row>
    <row r="57" spans="1:66" ht="9.75" customHeight="1">
      <c r="E57" s="211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756"/>
      <c r="U57" s="756"/>
      <c r="V57" s="253"/>
      <c r="W57" s="253"/>
      <c r="X57" s="756"/>
      <c r="Y57" s="288"/>
      <c r="Z57" s="298"/>
      <c r="AA57" s="253"/>
      <c r="AB57" s="253"/>
      <c r="AC57" s="253"/>
      <c r="AD57" s="253"/>
      <c r="AE57" s="253"/>
      <c r="AF57" s="253"/>
      <c r="AG57" s="173"/>
      <c r="AH57" s="253"/>
      <c r="AI57" s="253"/>
      <c r="AJ57" s="253"/>
      <c r="AK57" s="253"/>
      <c r="AL57" s="253"/>
      <c r="AM57" s="253"/>
      <c r="AN57" s="253"/>
      <c r="AO57" s="253"/>
      <c r="AP57" s="445"/>
      <c r="AQ57" s="445"/>
      <c r="AR57" s="445"/>
      <c r="AS57" s="498"/>
      <c r="AT57" s="614"/>
      <c r="AU57" s="298"/>
      <c r="AV57" s="253"/>
      <c r="AW57" s="253"/>
      <c r="AX57" s="173"/>
      <c r="AY57" s="253"/>
      <c r="AZ57" s="253"/>
      <c r="BA57" s="253"/>
      <c r="BB57" s="253"/>
      <c r="BC57" s="253"/>
      <c r="BD57" s="445"/>
      <c r="BE57" s="445"/>
      <c r="BF57" s="896"/>
      <c r="BG57" s="253"/>
    </row>
    <row r="58" spans="1:66" s="2" customFormat="1" ht="12.75" thickBot="1">
      <c r="A58" s="113">
        <v>31</v>
      </c>
      <c r="B58" s="2" t="s">
        <v>59</v>
      </c>
      <c r="E58" s="711">
        <f>E50-SUM(E53:E56)</f>
        <v>29386</v>
      </c>
      <c r="F58" s="649">
        <f t="shared" ref="F58:O58" si="142">F50-SUM(F53:F56)</f>
        <v>1.115478</v>
      </c>
      <c r="G58" s="649">
        <f>G50-SUM(G53:G56)</f>
        <v>4.914E-3</v>
      </c>
      <c r="H58" s="649">
        <f t="shared" si="142"/>
        <v>-0.78624000000000005</v>
      </c>
      <c r="I58" s="649">
        <f t="shared" si="142"/>
        <v>0.79</v>
      </c>
      <c r="J58" s="649">
        <f>J50-SUM(J53:J56)</f>
        <v>-0.79</v>
      </c>
      <c r="K58" s="649">
        <f t="shared" si="142"/>
        <v>-1515.22</v>
      </c>
      <c r="L58" s="649">
        <f t="shared" si="142"/>
        <v>-7.11</v>
      </c>
      <c r="M58" s="649">
        <f t="shared" si="142"/>
        <v>35.549999999999997</v>
      </c>
      <c r="N58" s="649">
        <f t="shared" si="142"/>
        <v>-363</v>
      </c>
      <c r="O58" s="649">
        <f t="shared" si="142"/>
        <v>13.43</v>
      </c>
      <c r="P58" s="649">
        <f t="shared" ref="P58:Q58" si="143">P50-SUM(P53:P56)</f>
        <v>-1.58</v>
      </c>
      <c r="Q58" s="649">
        <f t="shared" si="143"/>
        <v>8.69</v>
      </c>
      <c r="R58" s="649">
        <f>R50-SUM(R53:R56)</f>
        <v>0</v>
      </c>
      <c r="S58" s="649">
        <f t="shared" ref="S58" si="144">S50-SUM(S53:S56)</f>
        <v>0</v>
      </c>
      <c r="T58" s="758">
        <f>T50-SUM(T53:T56)</f>
        <v>379.99</v>
      </c>
      <c r="U58" s="758">
        <f>U50-SUM(U53:U56)</f>
        <v>-683.35</v>
      </c>
      <c r="V58" s="649">
        <f t="shared" ref="V58" si="145">V50-SUM(V53:V56)</f>
        <v>-251</v>
      </c>
      <c r="W58" s="649">
        <f>W50-SUM(W53:W56)</f>
        <v>130.19643000000002</v>
      </c>
      <c r="X58" s="758">
        <f>X50-SUM(X53:X56)</f>
        <v>-59.980284000000005</v>
      </c>
      <c r="Y58" s="446">
        <f>Y50-SUM(Y53:Y56)+Y57</f>
        <v>27072.950298</v>
      </c>
      <c r="Z58" s="590"/>
      <c r="AA58" s="649">
        <f t="shared" ref="AA58" si="146">AA50-SUM(AA53:AA56)</f>
        <v>6871.42</v>
      </c>
      <c r="AB58" s="649">
        <f t="shared" ref="AB58:AC58" si="147">AB50-SUM(AB53:AB56)</f>
        <v>392.63</v>
      </c>
      <c r="AC58" s="649">
        <f t="shared" si="147"/>
        <v>-27</v>
      </c>
      <c r="AD58" s="649">
        <f t="shared" ref="AD58" si="148">AD50-SUM(AD53:AD56)</f>
        <v>-2657.0860620000003</v>
      </c>
      <c r="AE58" s="649">
        <f t="shared" ref="AE58" si="149">AE50-SUM(AE53:AE56)</f>
        <v>131.13999999999999</v>
      </c>
      <c r="AF58" s="649">
        <f>AF50-SUM(AF53:AF56)</f>
        <v>287.45137199999999</v>
      </c>
      <c r="AG58" s="799">
        <f t="shared" ref="AG58" si="150">AG50-SUM(AG53:AG56)</f>
        <v>-1431.7170000000001</v>
      </c>
      <c r="AH58" s="649">
        <f t="shared" ref="AH58:AL58" si="151">AH50-SUM(AH53:AH56)</f>
        <v>-15.8</v>
      </c>
      <c r="AI58" s="649">
        <f t="shared" si="151"/>
        <v>94.8</v>
      </c>
      <c r="AJ58" s="649">
        <f t="shared" ref="AJ58" si="152">AJ50-SUM(AJ53:AJ56)</f>
        <v>18.482050000000001</v>
      </c>
      <c r="AK58" s="649">
        <f>AK50-SUM(AK53:AK56)</f>
        <v>-457.41</v>
      </c>
      <c r="AL58" s="649">
        <f t="shared" si="151"/>
        <v>-397.37</v>
      </c>
      <c r="AM58" s="649">
        <f t="shared" ref="AM58:AP58" si="153">AM50-SUM(AM53:AM56)</f>
        <v>-293.09000000000003</v>
      </c>
      <c r="AN58" s="649">
        <f t="shared" ref="AN58" si="154">AN50-SUM(AN53:AN56)</f>
        <v>-1777.08762</v>
      </c>
      <c r="AO58" s="649">
        <f>AO50-SUM(AO53:AO56)</f>
        <v>-332.70432800000003</v>
      </c>
      <c r="AP58" s="649">
        <f t="shared" si="153"/>
        <v>-329.200354</v>
      </c>
      <c r="AQ58" s="649">
        <f t="shared" ref="AQ58:AR58" si="155">AQ50-SUM(AQ53:AQ56)</f>
        <v>-513.52148199999999</v>
      </c>
      <c r="AR58" s="649">
        <f t="shared" si="155"/>
        <v>2753.94</v>
      </c>
      <c r="AS58" s="500">
        <f t="shared" ref="AS58" si="156">AS50-SUM(AS53:AS56)</f>
        <v>0</v>
      </c>
      <c r="AT58" s="616">
        <f>AT50-SUM(AT53:AT56)+AT57</f>
        <v>29390.826873999998</v>
      </c>
      <c r="AU58" s="590"/>
      <c r="AV58" s="649">
        <f>AV50-SUM(AV53:AV56)</f>
        <v>-169</v>
      </c>
      <c r="AW58" s="649">
        <f t="shared" ref="AW58:BA58" si="157">AW50-SUM(AW53:AW56)</f>
        <v>204.39292800000001</v>
      </c>
      <c r="AX58" s="799">
        <f t="shared" si="157"/>
        <v>-436.15899999999999</v>
      </c>
      <c r="AY58" s="649">
        <f t="shared" si="157"/>
        <v>-111.39</v>
      </c>
      <c r="AZ58" s="649">
        <f t="shared" si="157"/>
        <v>-206.98000000000002</v>
      </c>
      <c r="BA58" s="649">
        <f t="shared" si="157"/>
        <v>-79.789999999999992</v>
      </c>
      <c r="BB58" s="649">
        <f>BB50-SUM(BB53:BB56)</f>
        <v>147.9075</v>
      </c>
      <c r="BC58" s="649">
        <f t="shared" ref="BC58" si="158">BC50-SUM(BC53:BC56)</f>
        <v>-789.81592999999998</v>
      </c>
      <c r="BD58" s="649">
        <f t="shared" ref="BD58" si="159">BD50-SUM(BD53:BD56)</f>
        <v>141.47097200000002</v>
      </c>
      <c r="BE58" s="649">
        <f t="shared" ref="BE58" si="160">BE50-SUM(BE53:BE56)</f>
        <v>1128.1199999999999</v>
      </c>
      <c r="BF58" s="899">
        <f>BF50-SUM(BF53:BF56)</f>
        <v>29219.583343999999</v>
      </c>
      <c r="BG58" s="649">
        <f>BG50-SUM(BG53:BG56)</f>
        <v>-171.24353000000031</v>
      </c>
      <c r="BH58" s="624"/>
      <c r="BI58" s="624"/>
      <c r="BJ58" s="624"/>
      <c r="BK58" s="624"/>
      <c r="BL58" s="624"/>
      <c r="BM58" s="624"/>
      <c r="BN58" s="624"/>
    </row>
    <row r="59" spans="1:66" ht="6" customHeight="1" thickTop="1">
      <c r="E59" s="211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756"/>
      <c r="U59" s="759"/>
      <c r="V59" s="253"/>
      <c r="W59" s="253"/>
      <c r="X59" s="759"/>
      <c r="Y59" s="288"/>
      <c r="Z59" s="298"/>
      <c r="AA59" s="253"/>
      <c r="AB59" s="253"/>
      <c r="AC59" s="253"/>
      <c r="AD59" s="253"/>
      <c r="AE59" s="253"/>
      <c r="AF59" s="253"/>
      <c r="AG59" s="800"/>
      <c r="AH59" s="288"/>
      <c r="AI59" s="288"/>
      <c r="AJ59" s="288"/>
      <c r="AK59" s="253"/>
      <c r="AL59" s="253"/>
      <c r="AM59" s="253"/>
      <c r="AN59" s="253"/>
      <c r="AO59" s="253"/>
      <c r="AP59" s="445"/>
      <c r="AQ59" s="445"/>
      <c r="AR59" s="445"/>
      <c r="AS59" s="498"/>
      <c r="AT59" s="614"/>
      <c r="AU59" s="298"/>
      <c r="AV59" s="253"/>
      <c r="AW59" s="253"/>
      <c r="AX59" s="800"/>
      <c r="AY59" s="288"/>
      <c r="AZ59" s="253"/>
      <c r="BA59" s="253"/>
      <c r="BB59" s="253"/>
      <c r="BC59" s="253"/>
      <c r="BD59" s="445"/>
      <c r="BE59" s="445"/>
      <c r="BF59" s="896"/>
      <c r="BG59" s="253"/>
    </row>
    <row r="60" spans="1:66">
      <c r="B60" s="1" t="s">
        <v>104</v>
      </c>
      <c r="E60" s="211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756"/>
      <c r="U60" s="759"/>
      <c r="V60" s="253"/>
      <c r="W60" s="253"/>
      <c r="X60" s="759"/>
      <c r="Y60" s="288"/>
      <c r="Z60" s="298"/>
      <c r="AA60" s="253"/>
      <c r="AB60" s="253"/>
      <c r="AC60" s="253"/>
      <c r="AD60" s="253"/>
      <c r="AE60" s="253"/>
      <c r="AF60" s="253"/>
      <c r="AG60" s="800"/>
      <c r="AH60" s="288"/>
      <c r="AI60" s="288"/>
      <c r="AJ60" s="288"/>
      <c r="AK60" s="253"/>
      <c r="AL60" s="253"/>
      <c r="AM60" s="253"/>
      <c r="AN60" s="253"/>
      <c r="AO60" s="253"/>
      <c r="AP60" s="445"/>
      <c r="AQ60" s="445"/>
      <c r="AR60" s="445"/>
      <c r="AS60" s="498"/>
      <c r="AT60" s="614"/>
      <c r="AU60" s="298"/>
      <c r="AV60" s="253"/>
      <c r="AW60" s="253"/>
      <c r="AX60" s="800"/>
      <c r="AY60" s="288"/>
      <c r="AZ60" s="253"/>
      <c r="BA60" s="253"/>
      <c r="BB60" s="253"/>
      <c r="BC60" s="253"/>
      <c r="BD60" s="445"/>
      <c r="BE60" s="445"/>
      <c r="BF60" s="896"/>
      <c r="BG60" s="253"/>
      <c r="BJ60" s="626"/>
      <c r="BK60" s="629"/>
      <c r="BL60" s="626"/>
      <c r="BM60" s="626"/>
      <c r="BN60" s="626"/>
    </row>
    <row r="61" spans="1:66">
      <c r="B61" s="1" t="s">
        <v>105</v>
      </c>
      <c r="E61" s="211"/>
      <c r="F61" s="648"/>
      <c r="G61" s="648"/>
      <c r="H61" s="648"/>
      <c r="I61" s="648"/>
      <c r="J61" s="648"/>
      <c r="K61" s="648"/>
      <c r="L61" s="648"/>
      <c r="M61" s="648"/>
      <c r="N61" s="648"/>
      <c r="O61" s="648"/>
      <c r="P61" s="648"/>
      <c r="Q61" s="648"/>
      <c r="R61" s="648"/>
      <c r="S61" s="648"/>
      <c r="T61" s="754"/>
      <c r="U61" s="760"/>
      <c r="V61" s="648"/>
      <c r="W61" s="648"/>
      <c r="X61" s="760"/>
      <c r="Y61" s="288"/>
      <c r="Z61" s="298"/>
      <c r="AA61" s="648"/>
      <c r="AB61" s="648"/>
      <c r="AC61" s="648"/>
      <c r="AD61" s="648"/>
      <c r="AE61" s="648"/>
      <c r="AF61" s="648"/>
      <c r="AG61" s="801"/>
      <c r="AH61" s="785"/>
      <c r="AI61" s="785"/>
      <c r="AJ61" s="785"/>
      <c r="AK61" s="648"/>
      <c r="AL61" s="648"/>
      <c r="AM61" s="648"/>
      <c r="AN61" s="648"/>
      <c r="AO61" s="648"/>
      <c r="AP61" s="703"/>
      <c r="AQ61" s="703"/>
      <c r="AR61" s="703"/>
      <c r="AS61" s="496"/>
      <c r="AT61" s="614"/>
      <c r="AU61" s="298"/>
      <c r="AV61" s="648"/>
      <c r="AW61" s="648"/>
      <c r="AX61" s="801"/>
      <c r="AY61" s="785"/>
      <c r="AZ61" s="648"/>
      <c r="BA61" s="648"/>
      <c r="BB61" s="648"/>
      <c r="BC61" s="648"/>
      <c r="BD61" s="703"/>
      <c r="BE61" s="703"/>
      <c r="BF61" s="897"/>
      <c r="BG61" s="648"/>
      <c r="BM61" s="626"/>
      <c r="BN61" s="626"/>
    </row>
    <row r="62" spans="1:66">
      <c r="A62" s="113">
        <v>32</v>
      </c>
      <c r="B62" s="3"/>
      <c r="C62" s="3" t="s">
        <v>42</v>
      </c>
      <c r="D62" s="3"/>
      <c r="E62" s="710">
        <f>'ROO INPUT 1.00'!$F63</f>
        <v>32352</v>
      </c>
      <c r="F62" s="645">
        <v>0</v>
      </c>
      <c r="G62" s="645">
        <v>0</v>
      </c>
      <c r="H62" s="645">
        <v>0</v>
      </c>
      <c r="I62" s="645">
        <v>0</v>
      </c>
      <c r="J62" s="645">
        <v>0</v>
      </c>
      <c r="K62" s="645">
        <v>0</v>
      </c>
      <c r="L62" s="645">
        <v>0</v>
      </c>
      <c r="M62" s="645">
        <v>0</v>
      </c>
      <c r="N62" s="645">
        <v>0</v>
      </c>
      <c r="O62" s="645">
        <v>0</v>
      </c>
      <c r="P62" s="645">
        <v>0</v>
      </c>
      <c r="Q62" s="645">
        <v>0</v>
      </c>
      <c r="R62" s="645">
        <v>0</v>
      </c>
      <c r="S62" s="645">
        <v>0</v>
      </c>
      <c r="T62" s="753">
        <v>0</v>
      </c>
      <c r="U62" s="761">
        <v>0</v>
      </c>
      <c r="V62" s="645">
        <v>0</v>
      </c>
      <c r="W62" s="645">
        <v>737</v>
      </c>
      <c r="X62" s="761">
        <v>0</v>
      </c>
      <c r="Y62" s="589">
        <f>SUM(E62:X62)</f>
        <v>33089</v>
      </c>
      <c r="Z62" s="590"/>
      <c r="AA62" s="645">
        <v>0</v>
      </c>
      <c r="AB62" s="645">
        <v>0</v>
      </c>
      <c r="AC62" s="645">
        <v>0</v>
      </c>
      <c r="AD62" s="645">
        <v>0</v>
      </c>
      <c r="AE62" s="645">
        <v>0</v>
      </c>
      <c r="AF62" s="645">
        <v>0</v>
      </c>
      <c r="AG62" s="802">
        <v>0</v>
      </c>
      <c r="AH62" s="786">
        <v>0</v>
      </c>
      <c r="AI62" s="786">
        <v>0</v>
      </c>
      <c r="AJ62" s="786">
        <v>0</v>
      </c>
      <c r="AK62" s="645">
        <v>0</v>
      </c>
      <c r="AL62" s="645">
        <v>0</v>
      </c>
      <c r="AM62" s="645">
        <v>0</v>
      </c>
      <c r="AN62" s="645">
        <v>0</v>
      </c>
      <c r="AO62" s="645">
        <v>189</v>
      </c>
      <c r="AP62" s="823">
        <v>1412</v>
      </c>
      <c r="AQ62" s="823">
        <v>705</v>
      </c>
      <c r="AR62" s="823"/>
      <c r="AS62" s="495">
        <v>0</v>
      </c>
      <c r="AT62" s="613">
        <f>SUM(Y62:AS62)</f>
        <v>35395</v>
      </c>
      <c r="AU62" s="590"/>
      <c r="AV62" s="645">
        <v>0</v>
      </c>
      <c r="AW62" s="645">
        <v>0</v>
      </c>
      <c r="AX62" s="802">
        <v>0</v>
      </c>
      <c r="AY62" s="786">
        <v>0</v>
      </c>
      <c r="AZ62" s="645">
        <v>0</v>
      </c>
      <c r="BA62" s="645">
        <v>0</v>
      </c>
      <c r="BB62" s="645">
        <v>0</v>
      </c>
      <c r="BC62" s="645">
        <v>0</v>
      </c>
      <c r="BD62" s="823">
        <v>1419</v>
      </c>
      <c r="BE62" s="823"/>
      <c r="BF62" s="893">
        <f>SUM(AT62:BE62)</f>
        <v>36814</v>
      </c>
      <c r="BG62" s="645">
        <f>BF62-AT62</f>
        <v>1419</v>
      </c>
      <c r="BM62" s="627"/>
      <c r="BN62" s="627"/>
    </row>
    <row r="63" spans="1:66">
      <c r="A63" s="113">
        <v>33</v>
      </c>
      <c r="B63" s="3"/>
      <c r="C63" s="3" t="s">
        <v>61</v>
      </c>
      <c r="D63" s="3"/>
      <c r="E63" s="211">
        <f>'ROO INPUT 1.00'!$F64</f>
        <v>571039</v>
      </c>
      <c r="F63" s="648">
        <v>0</v>
      </c>
      <c r="G63" s="648">
        <v>0</v>
      </c>
      <c r="H63" s="648">
        <v>0</v>
      </c>
      <c r="I63" s="648">
        <v>0</v>
      </c>
      <c r="J63" s="648">
        <v>0</v>
      </c>
      <c r="K63" s="648">
        <v>0</v>
      </c>
      <c r="L63" s="648">
        <v>0</v>
      </c>
      <c r="M63" s="648">
        <v>0</v>
      </c>
      <c r="N63" s="648">
        <v>0</v>
      </c>
      <c r="O63" s="648">
        <v>0</v>
      </c>
      <c r="P63" s="648">
        <v>0</v>
      </c>
      <c r="Q63" s="648">
        <v>0</v>
      </c>
      <c r="R63" s="648">
        <v>0</v>
      </c>
      <c r="S63" s="648">
        <v>0</v>
      </c>
      <c r="T63" s="754">
        <v>0</v>
      </c>
      <c r="U63" s="760">
        <v>0</v>
      </c>
      <c r="V63" s="648">
        <v>0</v>
      </c>
      <c r="W63" s="648">
        <v>21202</v>
      </c>
      <c r="X63" s="760">
        <v>0</v>
      </c>
      <c r="Y63" s="288">
        <f>SUM(E63:X63)</f>
        <v>592241</v>
      </c>
      <c r="Z63" s="298"/>
      <c r="AA63" s="648">
        <v>0</v>
      </c>
      <c r="AB63" s="648">
        <v>0</v>
      </c>
      <c r="AC63" s="648"/>
      <c r="AD63" s="648">
        <v>0</v>
      </c>
      <c r="AE63" s="648"/>
      <c r="AF63" s="648">
        <v>0</v>
      </c>
      <c r="AG63" s="801">
        <v>0</v>
      </c>
      <c r="AH63" s="785">
        <v>0</v>
      </c>
      <c r="AI63" s="785">
        <v>0</v>
      </c>
      <c r="AJ63" s="785">
        <v>0</v>
      </c>
      <c r="AK63" s="648">
        <v>0</v>
      </c>
      <c r="AL63" s="648">
        <v>0</v>
      </c>
      <c r="AM63" s="648"/>
      <c r="AN63" s="648"/>
      <c r="AO63" s="648">
        <v>9479</v>
      </c>
      <c r="AP63" s="703">
        <v>44879</v>
      </c>
      <c r="AQ63" s="703">
        <v>15838</v>
      </c>
      <c r="AR63" s="703"/>
      <c r="AS63" s="496">
        <v>0</v>
      </c>
      <c r="AT63" s="614">
        <f>SUM(Y63:AS63)</f>
        <v>662437</v>
      </c>
      <c r="AU63" s="298"/>
      <c r="AV63" s="648"/>
      <c r="AW63" s="648">
        <v>0</v>
      </c>
      <c r="AX63" s="801">
        <v>0</v>
      </c>
      <c r="AY63" s="785">
        <v>0</v>
      </c>
      <c r="AZ63" s="648">
        <v>0</v>
      </c>
      <c r="BA63" s="648">
        <v>0</v>
      </c>
      <c r="BB63" s="648">
        <v>0</v>
      </c>
      <c r="BC63" s="648">
        <v>0</v>
      </c>
      <c r="BD63" s="703">
        <v>35851</v>
      </c>
      <c r="BE63" s="703"/>
      <c r="BF63" s="894">
        <f>SUM(AT63:BE63)</f>
        <v>698288</v>
      </c>
      <c r="BG63" s="646">
        <f>BF63-AT63</f>
        <v>35851</v>
      </c>
      <c r="BM63" s="628"/>
      <c r="BN63" s="628"/>
    </row>
    <row r="64" spans="1:66">
      <c r="A64" s="113">
        <v>34</v>
      </c>
      <c r="B64" s="3"/>
      <c r="C64" s="3" t="s">
        <v>62</v>
      </c>
      <c r="D64" s="3"/>
      <c r="E64" s="213">
        <f>'ROO INPUT 1.00'!$F65</f>
        <v>158395</v>
      </c>
      <c r="F64" s="702">
        <v>0</v>
      </c>
      <c r="G64" s="702">
        <v>0</v>
      </c>
      <c r="H64" s="702">
        <v>0</v>
      </c>
      <c r="I64" s="702">
        <v>0</v>
      </c>
      <c r="J64" s="702">
        <v>0</v>
      </c>
      <c r="K64" s="702">
        <v>0</v>
      </c>
      <c r="L64" s="702">
        <v>0</v>
      </c>
      <c r="M64" s="702">
        <v>0</v>
      </c>
      <c r="N64" s="702">
        <v>0</v>
      </c>
      <c r="O64" s="702">
        <v>0</v>
      </c>
      <c r="P64" s="702">
        <v>0</v>
      </c>
      <c r="Q64" s="702">
        <v>0</v>
      </c>
      <c r="R64" s="702">
        <v>0</v>
      </c>
      <c r="S64" s="702">
        <v>0</v>
      </c>
      <c r="T64" s="755">
        <v>0</v>
      </c>
      <c r="U64" s="762">
        <v>0</v>
      </c>
      <c r="V64" s="702">
        <v>0</v>
      </c>
      <c r="W64" s="702">
        <f>1763+1220</f>
        <v>2983</v>
      </c>
      <c r="X64" s="762">
        <v>0</v>
      </c>
      <c r="Y64" s="552">
        <f>SUM(E64:X64)</f>
        <v>161378</v>
      </c>
      <c r="Z64" s="298"/>
      <c r="AA64" s="702">
        <v>0</v>
      </c>
      <c r="AB64" s="702">
        <v>0</v>
      </c>
      <c r="AC64" s="702"/>
      <c r="AD64" s="702">
        <v>0</v>
      </c>
      <c r="AE64" s="702"/>
      <c r="AF64" s="702">
        <v>0</v>
      </c>
      <c r="AG64" s="803">
        <v>0</v>
      </c>
      <c r="AH64" s="787">
        <v>0</v>
      </c>
      <c r="AI64" s="787">
        <v>0</v>
      </c>
      <c r="AJ64" s="787">
        <v>0</v>
      </c>
      <c r="AK64" s="702">
        <v>0</v>
      </c>
      <c r="AL64" s="702">
        <v>0</v>
      </c>
      <c r="AM64" s="702"/>
      <c r="AN64" s="702"/>
      <c r="AO64" s="702">
        <f>875+1981</f>
        <v>2856</v>
      </c>
      <c r="AP64" s="702">
        <f>-1984+2080</f>
        <v>96</v>
      </c>
      <c r="AQ64" s="702">
        <f>-1430+835</f>
        <v>-595</v>
      </c>
      <c r="AR64" s="702"/>
      <c r="AS64" s="497">
        <v>0</v>
      </c>
      <c r="AT64" s="615">
        <f>SUM(Y64:AS64)</f>
        <v>163735</v>
      </c>
      <c r="AU64" s="298"/>
      <c r="AV64" s="702"/>
      <c r="AW64" s="702">
        <v>0</v>
      </c>
      <c r="AX64" s="803">
        <v>0</v>
      </c>
      <c r="AY64" s="787">
        <v>0</v>
      </c>
      <c r="AZ64" s="702">
        <v>0</v>
      </c>
      <c r="BA64" s="702">
        <v>0</v>
      </c>
      <c r="BB64" s="702">
        <v>0</v>
      </c>
      <c r="BC64" s="702">
        <v>0</v>
      </c>
      <c r="BD64" s="702">
        <f>-2188+468</f>
        <v>-1720</v>
      </c>
      <c r="BE64" s="702"/>
      <c r="BF64" s="895">
        <f>SUM(AT64:BE64)</f>
        <v>162015</v>
      </c>
      <c r="BG64" s="647">
        <f>BF64-AT64</f>
        <v>-1720</v>
      </c>
      <c r="BJ64" s="628"/>
      <c r="BK64" s="628"/>
      <c r="BL64" s="628"/>
      <c r="BM64" s="628"/>
      <c r="BN64" s="628"/>
    </row>
    <row r="65" spans="1:66" ht="15.75" customHeight="1">
      <c r="A65" s="113">
        <v>35</v>
      </c>
      <c r="B65" s="3" t="s">
        <v>63</v>
      </c>
      <c r="C65" s="3"/>
      <c r="E65" s="211">
        <f>SUM(E62:E64)</f>
        <v>761786</v>
      </c>
      <c r="F65" s="253">
        <f t="shared" ref="F65:N65" si="161">SUM(F62:F64)</f>
        <v>0</v>
      </c>
      <c r="G65" s="253">
        <f t="shared" si="161"/>
        <v>0</v>
      </c>
      <c r="H65" s="253">
        <f t="shared" si="161"/>
        <v>0</v>
      </c>
      <c r="I65" s="253">
        <f t="shared" si="161"/>
        <v>0</v>
      </c>
      <c r="J65" s="253">
        <f>SUM(J62:J64)</f>
        <v>0</v>
      </c>
      <c r="K65" s="253">
        <f t="shared" si="161"/>
        <v>0</v>
      </c>
      <c r="L65" s="253">
        <f t="shared" si="161"/>
        <v>0</v>
      </c>
      <c r="M65" s="253">
        <f t="shared" si="161"/>
        <v>0</v>
      </c>
      <c r="N65" s="253">
        <f t="shared" si="161"/>
        <v>0</v>
      </c>
      <c r="O65" s="253">
        <f t="shared" ref="O65:Y65" si="162">SUM(O62:O64)</f>
        <v>0</v>
      </c>
      <c r="P65" s="253">
        <f t="shared" si="162"/>
        <v>0</v>
      </c>
      <c r="Q65" s="253">
        <f t="shared" ref="Q65:U65" si="163">SUM(Q62:Q64)</f>
        <v>0</v>
      </c>
      <c r="R65" s="253">
        <f t="shared" si="163"/>
        <v>0</v>
      </c>
      <c r="S65" s="253">
        <f t="shared" si="163"/>
        <v>0</v>
      </c>
      <c r="T65" s="756">
        <f t="shared" si="163"/>
        <v>0</v>
      </c>
      <c r="U65" s="756">
        <f t="shared" si="163"/>
        <v>0</v>
      </c>
      <c r="V65" s="253">
        <f t="shared" ref="V65" si="164">SUM(V62:V64)</f>
        <v>0</v>
      </c>
      <c r="W65" s="253">
        <f t="shared" ref="W65:X65" si="165">SUM(W62:W64)</f>
        <v>24922</v>
      </c>
      <c r="X65" s="756">
        <f t="shared" si="165"/>
        <v>0</v>
      </c>
      <c r="Y65" s="288">
        <f t="shared" si="162"/>
        <v>786708</v>
      </c>
      <c r="Z65" s="298"/>
      <c r="AA65" s="253">
        <f>SUM(AA62:AA64)</f>
        <v>0</v>
      </c>
      <c r="AB65" s="253">
        <f>SUM(AB62:AB64)</f>
        <v>0</v>
      </c>
      <c r="AC65" s="253">
        <f>SUM(AC62:AC64)</f>
        <v>0</v>
      </c>
      <c r="AD65" s="253">
        <f t="shared" ref="AD65" si="166">SUM(AD62:AD64)</f>
        <v>0</v>
      </c>
      <c r="AE65" s="253">
        <f>SUM(AE62:AE64)</f>
        <v>0</v>
      </c>
      <c r="AF65" s="253">
        <f>SUM(AF62:AF64)</f>
        <v>0</v>
      </c>
      <c r="AG65" s="173">
        <f t="shared" ref="AG65" si="167">SUM(AG62:AG64)</f>
        <v>0</v>
      </c>
      <c r="AH65" s="253">
        <f t="shared" ref="AH65:AL65" si="168">SUM(AH62:AH64)</f>
        <v>0</v>
      </c>
      <c r="AI65" s="253">
        <f t="shared" si="168"/>
        <v>0</v>
      </c>
      <c r="AJ65" s="253">
        <f t="shared" ref="AJ65" si="169">SUM(AJ62:AJ64)</f>
        <v>0</v>
      </c>
      <c r="AK65" s="253">
        <f t="shared" ref="AK65" si="170">SUM(AK62:AK64)</f>
        <v>0</v>
      </c>
      <c r="AL65" s="253">
        <f t="shared" si="168"/>
        <v>0</v>
      </c>
      <c r="AM65" s="253">
        <f>SUM(AM62:AM64)</f>
        <v>0</v>
      </c>
      <c r="AN65" s="253">
        <f t="shared" ref="AN65" si="171">SUM(AN62:AN64)</f>
        <v>0</v>
      </c>
      <c r="AO65" s="253">
        <f t="shared" ref="AO65" si="172">SUM(AO62:AO64)</f>
        <v>12524</v>
      </c>
      <c r="AP65" s="445">
        <f>SUM(AP62:AP64)</f>
        <v>46387</v>
      </c>
      <c r="AQ65" s="445">
        <f>SUM(AQ62:AQ64)</f>
        <v>15948</v>
      </c>
      <c r="AR65" s="445">
        <f>SUM(AR62:AR64)</f>
        <v>0</v>
      </c>
      <c r="AS65" s="498">
        <f t="shared" ref="AS65" si="173">SUM(AS62:AS64)</f>
        <v>0</v>
      </c>
      <c r="AT65" s="614">
        <f t="shared" ref="AT65" si="174">SUM(AT62:AT64)</f>
        <v>861567</v>
      </c>
      <c r="AU65" s="298"/>
      <c r="AV65" s="253">
        <f>SUM(AV62:AV64)</f>
        <v>0</v>
      </c>
      <c r="AW65" s="253">
        <f t="shared" ref="AW65" si="175">SUM(AW62:AW64)</f>
        <v>0</v>
      </c>
      <c r="AX65" s="173">
        <f t="shared" ref="AX65:BA65" si="176">SUM(AX62:AX64)</f>
        <v>0</v>
      </c>
      <c r="AY65" s="253">
        <f t="shared" si="176"/>
        <v>0</v>
      </c>
      <c r="AZ65" s="253">
        <f>SUM(AZ62:AZ64)</f>
        <v>0</v>
      </c>
      <c r="BA65" s="253">
        <f t="shared" si="176"/>
        <v>0</v>
      </c>
      <c r="BB65" s="253">
        <f>SUM(BB62:BB64)</f>
        <v>0</v>
      </c>
      <c r="BC65" s="253">
        <f t="shared" ref="BC65" si="177">SUM(BC62:BC64)</f>
        <v>0</v>
      </c>
      <c r="BD65" s="445">
        <f>SUM(BD62:BD64)</f>
        <v>35550</v>
      </c>
      <c r="BE65" s="445">
        <f>SUM(BE62:BE64)</f>
        <v>0</v>
      </c>
      <c r="BF65" s="896">
        <f>SUM(BF62:BF64)</f>
        <v>897117</v>
      </c>
      <c r="BG65" s="253">
        <f>SUM(BG62:BG64)</f>
        <v>35550</v>
      </c>
      <c r="BJ65" s="628"/>
      <c r="BK65" s="628"/>
      <c r="BL65" s="628"/>
      <c r="BM65" s="628"/>
      <c r="BN65" s="628"/>
    </row>
    <row r="66" spans="1:66" ht="3.75" customHeight="1">
      <c r="B66" s="3"/>
      <c r="C66" s="3"/>
      <c r="E66" s="211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756"/>
      <c r="U66" s="756"/>
      <c r="V66" s="253"/>
      <c r="W66" s="253"/>
      <c r="X66" s="756"/>
      <c r="Y66" s="288"/>
      <c r="Z66" s="298"/>
      <c r="AA66" s="253"/>
      <c r="AB66" s="253"/>
      <c r="AC66" s="253"/>
      <c r="AD66" s="253"/>
      <c r="AE66" s="253"/>
      <c r="AF66" s="253"/>
      <c r="AG66" s="173"/>
      <c r="AH66" s="253"/>
      <c r="AI66" s="253"/>
      <c r="AJ66" s="253"/>
      <c r="AK66" s="253"/>
      <c r="AL66" s="253"/>
      <c r="AM66" s="253"/>
      <c r="AN66" s="253"/>
      <c r="AO66" s="253"/>
      <c r="AP66" s="445"/>
      <c r="AQ66" s="445"/>
      <c r="AR66" s="445"/>
      <c r="AS66" s="498"/>
      <c r="AT66" s="614"/>
      <c r="AU66" s="298"/>
      <c r="AV66" s="253"/>
      <c r="AW66" s="253"/>
      <c r="AX66" s="173"/>
      <c r="AY66" s="253"/>
      <c r="AZ66" s="253"/>
      <c r="BA66" s="253"/>
      <c r="BB66" s="253"/>
      <c r="BC66" s="253"/>
      <c r="BD66" s="445"/>
      <c r="BE66" s="445"/>
      <c r="BF66" s="896"/>
      <c r="BG66" s="253"/>
      <c r="BJ66" s="628"/>
      <c r="BL66" s="630"/>
      <c r="BM66" s="630"/>
      <c r="BN66" s="630"/>
    </row>
    <row r="67" spans="1:66">
      <c r="B67" s="3" t="s">
        <v>194</v>
      </c>
      <c r="C67" s="3"/>
      <c r="D67" s="3"/>
      <c r="E67" s="211"/>
      <c r="F67" s="648"/>
      <c r="G67" s="648"/>
      <c r="H67" s="648"/>
      <c r="I67" s="648"/>
      <c r="J67" s="648"/>
      <c r="K67" s="648"/>
      <c r="L67" s="648"/>
      <c r="M67" s="648"/>
      <c r="N67" s="648"/>
      <c r="O67" s="648"/>
      <c r="P67" s="648"/>
      <c r="Q67" s="648"/>
      <c r="R67" s="648"/>
      <c r="S67" s="648"/>
      <c r="T67" s="754"/>
      <c r="U67" s="754"/>
      <c r="V67" s="648"/>
      <c r="W67" s="648"/>
      <c r="X67" s="754"/>
      <c r="Y67" s="288"/>
      <c r="Z67" s="298"/>
      <c r="AA67" s="648"/>
      <c r="AB67" s="648"/>
      <c r="AC67" s="648"/>
      <c r="AD67" s="648"/>
      <c r="AE67" s="648"/>
      <c r="AF67" s="648"/>
      <c r="AG67" s="796"/>
      <c r="AH67" s="648"/>
      <c r="AI67" s="648"/>
      <c r="AJ67" s="648"/>
      <c r="AK67" s="648"/>
      <c r="AL67" s="648"/>
      <c r="AM67" s="648"/>
      <c r="AN67" s="648"/>
      <c r="AO67" s="648"/>
      <c r="AP67" s="703"/>
      <c r="AQ67" s="703"/>
      <c r="AR67" s="703"/>
      <c r="AS67" s="496"/>
      <c r="AT67" s="614"/>
      <c r="AU67" s="298"/>
      <c r="AV67" s="648"/>
      <c r="AW67" s="648"/>
      <c r="AX67" s="796"/>
      <c r="AY67" s="648"/>
      <c r="AZ67" s="648"/>
      <c r="BA67" s="648"/>
      <c r="BB67" s="648"/>
      <c r="BC67" s="648"/>
      <c r="BD67" s="703"/>
      <c r="BE67" s="703"/>
      <c r="BF67" s="897"/>
      <c r="BG67" s="648"/>
      <c r="BJ67" s="628"/>
      <c r="BK67" s="628"/>
      <c r="BL67" s="630"/>
      <c r="BM67" s="630"/>
      <c r="BN67" s="630"/>
    </row>
    <row r="68" spans="1:66">
      <c r="A68" s="113">
        <v>36</v>
      </c>
      <c r="B68" s="3"/>
      <c r="C68" s="3" t="s">
        <v>42</v>
      </c>
      <c r="D68" s="3"/>
      <c r="E68" s="211">
        <f>'ROO INPUT 1.00'!$F69</f>
        <v>-12363</v>
      </c>
      <c r="F68" s="648">
        <v>0</v>
      </c>
      <c r="G68" s="648">
        <v>0</v>
      </c>
      <c r="H68" s="648">
        <v>0</v>
      </c>
      <c r="I68" s="648">
        <v>0</v>
      </c>
      <c r="J68" s="648">
        <v>0</v>
      </c>
      <c r="K68" s="648">
        <v>0</v>
      </c>
      <c r="L68" s="648">
        <v>0</v>
      </c>
      <c r="M68" s="648">
        <v>0</v>
      </c>
      <c r="N68" s="648">
        <v>0</v>
      </c>
      <c r="O68" s="648">
        <v>0</v>
      </c>
      <c r="P68" s="648">
        <v>0</v>
      </c>
      <c r="Q68" s="648">
        <v>0</v>
      </c>
      <c r="R68" s="648">
        <v>0</v>
      </c>
      <c r="S68" s="648">
        <v>0</v>
      </c>
      <c r="T68" s="754">
        <v>0</v>
      </c>
      <c r="U68" s="754">
        <v>0</v>
      </c>
      <c r="V68" s="648">
        <v>0</v>
      </c>
      <c r="W68" s="648">
        <v>-233</v>
      </c>
      <c r="X68" s="754">
        <v>0</v>
      </c>
      <c r="Y68" s="288">
        <f>SUM(E68:X68)</f>
        <v>-12596</v>
      </c>
      <c r="Z68" s="298"/>
      <c r="AA68" s="648">
        <v>0</v>
      </c>
      <c r="AB68" s="648">
        <v>0</v>
      </c>
      <c r="AC68" s="648">
        <v>0</v>
      </c>
      <c r="AD68" s="648">
        <v>0</v>
      </c>
      <c r="AE68" s="648">
        <v>0</v>
      </c>
      <c r="AF68" s="648">
        <v>0</v>
      </c>
      <c r="AG68" s="796">
        <v>0</v>
      </c>
      <c r="AH68" s="648">
        <v>0</v>
      </c>
      <c r="AI68" s="648">
        <v>0</v>
      </c>
      <c r="AJ68" s="648">
        <v>0</v>
      </c>
      <c r="AK68" s="648">
        <v>0</v>
      </c>
      <c r="AL68" s="648">
        <v>0</v>
      </c>
      <c r="AM68" s="648">
        <v>0</v>
      </c>
      <c r="AN68" s="648">
        <v>0</v>
      </c>
      <c r="AO68" s="648">
        <v>-120</v>
      </c>
      <c r="AP68" s="824">
        <v>-493</v>
      </c>
      <c r="AQ68" s="824">
        <v>-255</v>
      </c>
      <c r="AR68" s="824"/>
      <c r="AS68" s="496">
        <v>0</v>
      </c>
      <c r="AT68" s="614">
        <f>SUM(Y68:AS68)</f>
        <v>-13464</v>
      </c>
      <c r="AU68" s="298"/>
      <c r="AV68" s="648">
        <v>0</v>
      </c>
      <c r="AW68" s="648">
        <v>0</v>
      </c>
      <c r="AX68" s="796">
        <v>0</v>
      </c>
      <c r="AY68" s="648">
        <v>0</v>
      </c>
      <c r="AZ68" s="648">
        <v>0</v>
      </c>
      <c r="BA68" s="648">
        <v>0</v>
      </c>
      <c r="BB68" s="648">
        <v>0</v>
      </c>
      <c r="BC68" s="648">
        <v>0</v>
      </c>
      <c r="BD68" s="824">
        <v>-523</v>
      </c>
      <c r="BE68" s="824"/>
      <c r="BF68" s="894">
        <f>SUM(AT68:BE68)</f>
        <v>-13987</v>
      </c>
      <c r="BG68" s="646">
        <f>BF68-AT68</f>
        <v>-523</v>
      </c>
      <c r="BJ68" s="628"/>
      <c r="BK68" s="628"/>
      <c r="BL68" s="630"/>
      <c r="BM68" s="630"/>
      <c r="BN68" s="630"/>
    </row>
    <row r="69" spans="1:66">
      <c r="A69" s="113">
        <v>37</v>
      </c>
      <c r="B69" s="3"/>
      <c r="C69" s="3" t="s">
        <v>61</v>
      </c>
      <c r="D69" s="3"/>
      <c r="E69" s="211">
        <f>'ROO INPUT 1.00'!$F70</f>
        <v>-161309</v>
      </c>
      <c r="F69" s="648">
        <v>0</v>
      </c>
      <c r="G69" s="648">
        <v>0</v>
      </c>
      <c r="H69" s="648">
        <v>0</v>
      </c>
      <c r="I69" s="648">
        <v>0</v>
      </c>
      <c r="J69" s="648">
        <v>0</v>
      </c>
      <c r="K69" s="648">
        <v>0</v>
      </c>
      <c r="L69" s="648">
        <v>0</v>
      </c>
      <c r="M69" s="648">
        <v>0</v>
      </c>
      <c r="N69" s="648">
        <v>0</v>
      </c>
      <c r="O69" s="648">
        <v>0</v>
      </c>
      <c r="P69" s="648">
        <v>0</v>
      </c>
      <c r="Q69" s="648">
        <v>0</v>
      </c>
      <c r="R69" s="648">
        <v>0</v>
      </c>
      <c r="S69" s="648">
        <v>0</v>
      </c>
      <c r="T69" s="754">
        <v>0</v>
      </c>
      <c r="U69" s="754">
        <v>0</v>
      </c>
      <c r="V69" s="648">
        <v>0</v>
      </c>
      <c r="W69" s="648">
        <v>-5546</v>
      </c>
      <c r="X69" s="754">
        <v>0</v>
      </c>
      <c r="Y69" s="288">
        <f>SUM(E69:X69)</f>
        <v>-166855</v>
      </c>
      <c r="Z69" s="298"/>
      <c r="AA69" s="648">
        <v>0</v>
      </c>
      <c r="AB69" s="648">
        <v>0</v>
      </c>
      <c r="AC69" s="648"/>
      <c r="AD69" s="648">
        <v>0</v>
      </c>
      <c r="AE69" s="648"/>
      <c r="AF69" s="648">
        <v>0</v>
      </c>
      <c r="AG69" s="796">
        <v>0</v>
      </c>
      <c r="AH69" s="648">
        <v>0</v>
      </c>
      <c r="AI69" s="648">
        <v>0</v>
      </c>
      <c r="AJ69" s="648">
        <v>0</v>
      </c>
      <c r="AK69" s="648">
        <v>0</v>
      </c>
      <c r="AL69" s="648">
        <v>0</v>
      </c>
      <c r="AM69" s="648"/>
      <c r="AN69" s="648"/>
      <c r="AO69" s="648">
        <v>-2943</v>
      </c>
      <c r="AP69" s="703">
        <v>-11723</v>
      </c>
      <c r="AQ69" s="703">
        <v>-6922</v>
      </c>
      <c r="AR69" s="703"/>
      <c r="AS69" s="496">
        <v>0</v>
      </c>
      <c r="AT69" s="614">
        <f>SUM(Y69:AS69)</f>
        <v>-188443</v>
      </c>
      <c r="AU69" s="298"/>
      <c r="AV69" s="648"/>
      <c r="AW69" s="648">
        <v>0</v>
      </c>
      <c r="AX69" s="796">
        <v>0</v>
      </c>
      <c r="AY69" s="648">
        <v>0</v>
      </c>
      <c r="AZ69" s="648">
        <v>0</v>
      </c>
      <c r="BA69" s="648">
        <v>0</v>
      </c>
      <c r="BB69" s="648">
        <v>0</v>
      </c>
      <c r="BC69" s="648">
        <v>0</v>
      </c>
      <c r="BD69" s="703">
        <v>-14094</v>
      </c>
      <c r="BE69" s="703"/>
      <c r="BF69" s="894">
        <f>SUM(AT69:BE69)</f>
        <v>-202537</v>
      </c>
      <c r="BG69" s="646">
        <f>BF69-AT69</f>
        <v>-14094</v>
      </c>
      <c r="BJ69" s="628"/>
      <c r="BM69" s="628"/>
      <c r="BN69" s="628"/>
    </row>
    <row r="70" spans="1:66">
      <c r="A70" s="113">
        <v>38</v>
      </c>
      <c r="B70" s="3"/>
      <c r="C70" s="3" t="s">
        <v>62</v>
      </c>
      <c r="D70" s="3"/>
      <c r="E70" s="211">
        <f>'ROO INPUT 1.00'!$F71</f>
        <v>-52407</v>
      </c>
      <c r="F70" s="648">
        <v>0</v>
      </c>
      <c r="G70" s="648">
        <v>0</v>
      </c>
      <c r="H70" s="648">
        <v>0</v>
      </c>
      <c r="I70" s="648">
        <v>0</v>
      </c>
      <c r="J70" s="648">
        <v>0</v>
      </c>
      <c r="K70" s="648">
        <v>0</v>
      </c>
      <c r="L70" s="648">
        <v>0</v>
      </c>
      <c r="M70" s="648">
        <v>0</v>
      </c>
      <c r="N70" s="648">
        <v>0</v>
      </c>
      <c r="O70" s="648">
        <v>0</v>
      </c>
      <c r="P70" s="648">
        <v>0</v>
      </c>
      <c r="Q70" s="648">
        <v>0</v>
      </c>
      <c r="R70" s="648">
        <v>0</v>
      </c>
      <c r="S70" s="648">
        <v>0</v>
      </c>
      <c r="T70" s="754">
        <v>0</v>
      </c>
      <c r="U70" s="754">
        <v>0</v>
      </c>
      <c r="V70" s="648">
        <v>0</v>
      </c>
      <c r="W70" s="648">
        <f>-2220-1824</f>
        <v>-4044</v>
      </c>
      <c r="X70" s="754">
        <v>0</v>
      </c>
      <c r="Y70" s="288">
        <f>SUM(E70:X70)</f>
        <v>-56451</v>
      </c>
      <c r="Z70" s="298"/>
      <c r="AA70" s="648">
        <v>0</v>
      </c>
      <c r="AB70" s="648">
        <v>0</v>
      </c>
      <c r="AC70" s="648"/>
      <c r="AD70" s="648">
        <v>-4097</v>
      </c>
      <c r="AE70" s="648"/>
      <c r="AF70" s="648">
        <v>0</v>
      </c>
      <c r="AG70" s="796">
        <v>0</v>
      </c>
      <c r="AH70" s="648">
        <v>0</v>
      </c>
      <c r="AI70" s="648">
        <v>0</v>
      </c>
      <c r="AJ70" s="648">
        <v>0</v>
      </c>
      <c r="AK70" s="648">
        <v>0</v>
      </c>
      <c r="AL70" s="648">
        <v>0</v>
      </c>
      <c r="AM70" s="648"/>
      <c r="AN70" s="648"/>
      <c r="AO70" s="648">
        <f>-534-745</f>
        <v>-1279</v>
      </c>
      <c r="AP70" s="702">
        <f>-1036-2102</f>
        <v>-3138</v>
      </c>
      <c r="AQ70" s="702">
        <f>-1842-1053-1</f>
        <v>-2896</v>
      </c>
      <c r="AR70" s="702"/>
      <c r="AS70" s="496">
        <v>0</v>
      </c>
      <c r="AT70" s="614">
        <f>SUM(Y70:AS70)</f>
        <v>-67861</v>
      </c>
      <c r="AU70" s="298"/>
      <c r="AV70" s="648"/>
      <c r="AW70" s="648"/>
      <c r="AX70" s="796">
        <v>0</v>
      </c>
      <c r="AY70" s="648">
        <v>0</v>
      </c>
      <c r="AZ70" s="648">
        <v>0</v>
      </c>
      <c r="BA70" s="648">
        <v>0</v>
      </c>
      <c r="BB70" s="648">
        <v>0</v>
      </c>
      <c r="BC70" s="648">
        <v>0</v>
      </c>
      <c r="BD70" s="702">
        <f>-131-63</f>
        <v>-194</v>
      </c>
      <c r="BE70" s="702"/>
      <c r="BF70" s="895">
        <f>SUM(AT70:BE70)</f>
        <v>-68055</v>
      </c>
      <c r="BG70" s="647">
        <f>BF70-AT70</f>
        <v>-194</v>
      </c>
      <c r="BJ70" s="628"/>
      <c r="BM70" s="628"/>
      <c r="BN70" s="628"/>
    </row>
    <row r="71" spans="1:66">
      <c r="A71" s="113">
        <v>39</v>
      </c>
      <c r="B71" s="3" t="s">
        <v>383</v>
      </c>
      <c r="C71" s="3"/>
      <c r="E71" s="216">
        <f>SUM(E68:E70)</f>
        <v>-226079</v>
      </c>
      <c r="F71" s="650">
        <f t="shared" ref="F71:N71" si="178">SUM(F68:F70)</f>
        <v>0</v>
      </c>
      <c r="G71" s="650">
        <f t="shared" si="178"/>
        <v>0</v>
      </c>
      <c r="H71" s="650">
        <f t="shared" si="178"/>
        <v>0</v>
      </c>
      <c r="I71" s="650">
        <f t="shared" si="178"/>
        <v>0</v>
      </c>
      <c r="J71" s="650">
        <f>SUM(J68:J70)</f>
        <v>0</v>
      </c>
      <c r="K71" s="650">
        <f t="shared" si="178"/>
        <v>0</v>
      </c>
      <c r="L71" s="650">
        <f t="shared" si="178"/>
        <v>0</v>
      </c>
      <c r="M71" s="650">
        <f t="shared" si="178"/>
        <v>0</v>
      </c>
      <c r="N71" s="650">
        <f t="shared" si="178"/>
        <v>0</v>
      </c>
      <c r="O71" s="650">
        <f t="shared" ref="O71:P71" si="179">SUM(O68:O70)</f>
        <v>0</v>
      </c>
      <c r="P71" s="650">
        <f t="shared" si="179"/>
        <v>0</v>
      </c>
      <c r="Q71" s="650">
        <f t="shared" ref="Q71:T71" si="180">SUM(Q68:Q70)</f>
        <v>0</v>
      </c>
      <c r="R71" s="650">
        <f t="shared" si="180"/>
        <v>0</v>
      </c>
      <c r="S71" s="650">
        <f t="shared" si="180"/>
        <v>0</v>
      </c>
      <c r="T71" s="763">
        <f t="shared" si="180"/>
        <v>0</v>
      </c>
      <c r="U71" s="763">
        <f t="shared" ref="U71" si="181">SUM(U68:U70)</f>
        <v>0</v>
      </c>
      <c r="V71" s="650">
        <f>SUM(V68:V70)</f>
        <v>0</v>
      </c>
      <c r="W71" s="650">
        <f t="shared" ref="W71:X71" si="182">SUM(W68:W70)</f>
        <v>-9823</v>
      </c>
      <c r="X71" s="763">
        <f t="shared" si="182"/>
        <v>0</v>
      </c>
      <c r="Y71" s="591">
        <f t="shared" ref="Y71:AL71" si="183">SUM(Y68:Y70)</f>
        <v>-235902</v>
      </c>
      <c r="Z71" s="298"/>
      <c r="AA71" s="650">
        <f>SUM(AA68:AA70)</f>
        <v>0</v>
      </c>
      <c r="AB71" s="650">
        <f>SUM(AB68:AB70)</f>
        <v>0</v>
      </c>
      <c r="AC71" s="650">
        <f>SUM(AC68:AC70)</f>
        <v>0</v>
      </c>
      <c r="AD71" s="650">
        <f t="shared" ref="AD71" si="184">SUM(AD68:AD70)</f>
        <v>-4097</v>
      </c>
      <c r="AE71" s="650">
        <f>SUM(AE68:AE70)</f>
        <v>0</v>
      </c>
      <c r="AF71" s="650">
        <f>SUM(AF68:AF70)</f>
        <v>0</v>
      </c>
      <c r="AG71" s="804">
        <f t="shared" ref="AG71" si="185">SUM(AG68:AG70)</f>
        <v>0</v>
      </c>
      <c r="AH71" s="650">
        <f t="shared" si="183"/>
        <v>0</v>
      </c>
      <c r="AI71" s="650">
        <f t="shared" si="183"/>
        <v>0</v>
      </c>
      <c r="AJ71" s="650">
        <f t="shared" ref="AJ71" si="186">SUM(AJ68:AJ70)</f>
        <v>0</v>
      </c>
      <c r="AK71" s="650">
        <f t="shared" ref="AK71" si="187">SUM(AK68:AK70)</f>
        <v>0</v>
      </c>
      <c r="AL71" s="650">
        <f t="shared" si="183"/>
        <v>0</v>
      </c>
      <c r="AM71" s="650">
        <f>SUM(AM68:AM70)</f>
        <v>0</v>
      </c>
      <c r="AN71" s="650">
        <f t="shared" ref="AN71" si="188">SUM(AN68:AN70)</f>
        <v>0</v>
      </c>
      <c r="AO71" s="650">
        <f t="shared" ref="AO71" si="189">SUM(AO68:AO70)</f>
        <v>-4342</v>
      </c>
      <c r="AP71" s="650">
        <f>SUM(AP68:AP70)</f>
        <v>-15354</v>
      </c>
      <c r="AQ71" s="650">
        <f>SUM(AQ68:AQ70)</f>
        <v>-10073</v>
      </c>
      <c r="AR71" s="650">
        <f>SUM(AR68:AR70)</f>
        <v>0</v>
      </c>
      <c r="AS71" s="501">
        <f t="shared" ref="AS71" si="190">SUM(AS68:AS70)</f>
        <v>0</v>
      </c>
      <c r="AT71" s="617">
        <f t="shared" ref="AT71" si="191">SUM(AT68:AT70)</f>
        <v>-269768</v>
      </c>
      <c r="AU71" s="298"/>
      <c r="AV71" s="650">
        <f>SUM(AV68:AV70)</f>
        <v>0</v>
      </c>
      <c r="AW71" s="650">
        <f t="shared" ref="AW71" si="192">SUM(AW68:AW70)</f>
        <v>0</v>
      </c>
      <c r="AX71" s="804">
        <f t="shared" ref="AX71:BA71" si="193">SUM(AX68:AX70)</f>
        <v>0</v>
      </c>
      <c r="AY71" s="650">
        <f t="shared" si="193"/>
        <v>0</v>
      </c>
      <c r="AZ71" s="650">
        <f>SUM(AZ68:AZ70)</f>
        <v>0</v>
      </c>
      <c r="BA71" s="650">
        <f t="shared" si="193"/>
        <v>0</v>
      </c>
      <c r="BB71" s="650">
        <f>SUM(BB68:BB70)</f>
        <v>0</v>
      </c>
      <c r="BC71" s="650">
        <f t="shared" ref="BC71" si="194">SUM(BC68:BC70)</f>
        <v>0</v>
      </c>
      <c r="BD71" s="650">
        <f>SUM(BD68:BD70)</f>
        <v>-14811</v>
      </c>
      <c r="BE71" s="650">
        <f>SUM(BE68:BE70)</f>
        <v>0</v>
      </c>
      <c r="BF71" s="900">
        <f>SUM(BF68:BF70)</f>
        <v>-284579</v>
      </c>
      <c r="BG71" s="650">
        <f>SUM(BG68:BG70)</f>
        <v>-14811</v>
      </c>
      <c r="BJ71" s="628"/>
      <c r="BM71" s="628"/>
      <c r="BN71" s="628"/>
    </row>
    <row r="72" spans="1:66">
      <c r="A72" s="113">
        <v>40</v>
      </c>
      <c r="B72" s="3" t="s">
        <v>167</v>
      </c>
      <c r="C72" s="3"/>
      <c r="D72" s="3"/>
      <c r="E72" s="219">
        <f>E65+E71</f>
        <v>535707</v>
      </c>
      <c r="F72" s="445">
        <f t="shared" ref="F72:AT72" si="195">F65+F71</f>
        <v>0</v>
      </c>
      <c r="G72" s="445">
        <f t="shared" si="195"/>
        <v>0</v>
      </c>
      <c r="H72" s="445">
        <f t="shared" si="195"/>
        <v>0</v>
      </c>
      <c r="I72" s="445">
        <f t="shared" si="195"/>
        <v>0</v>
      </c>
      <c r="J72" s="445">
        <f t="shared" si="195"/>
        <v>0</v>
      </c>
      <c r="K72" s="445">
        <f t="shared" si="195"/>
        <v>0</v>
      </c>
      <c r="L72" s="445">
        <f t="shared" si="195"/>
        <v>0</v>
      </c>
      <c r="M72" s="445">
        <f t="shared" si="195"/>
        <v>0</v>
      </c>
      <c r="N72" s="445">
        <f t="shared" si="195"/>
        <v>0</v>
      </c>
      <c r="O72" s="445">
        <f t="shared" si="195"/>
        <v>0</v>
      </c>
      <c r="P72" s="445">
        <f t="shared" si="195"/>
        <v>0</v>
      </c>
      <c r="Q72" s="445">
        <f t="shared" si="195"/>
        <v>0</v>
      </c>
      <c r="R72" s="445">
        <f t="shared" si="195"/>
        <v>0</v>
      </c>
      <c r="S72" s="445">
        <f t="shared" ref="S72" si="196">S65+S71</f>
        <v>0</v>
      </c>
      <c r="T72" s="764">
        <f>T65+T71</f>
        <v>0</v>
      </c>
      <c r="U72" s="764">
        <f>U65+U71</f>
        <v>0</v>
      </c>
      <c r="V72" s="445">
        <f>V65+V71</f>
        <v>0</v>
      </c>
      <c r="W72" s="445">
        <f>W65+W71</f>
        <v>15099</v>
      </c>
      <c r="X72" s="764">
        <f>X65+X71</f>
        <v>0</v>
      </c>
      <c r="Y72" s="298">
        <f t="shared" si="195"/>
        <v>550806</v>
      </c>
      <c r="Z72" s="298"/>
      <c r="AA72" s="445">
        <f t="shared" ref="AA72" si="197">AA65+AA71</f>
        <v>0</v>
      </c>
      <c r="AB72" s="445">
        <f>AB65+AB71</f>
        <v>0</v>
      </c>
      <c r="AC72" s="445">
        <f>AC65+AC71</f>
        <v>0</v>
      </c>
      <c r="AD72" s="445">
        <f t="shared" ref="AD72" si="198">AD65+AD71</f>
        <v>-4097</v>
      </c>
      <c r="AE72" s="445">
        <f>AE65+AE71</f>
        <v>0</v>
      </c>
      <c r="AF72" s="445">
        <f>AF65+AF71</f>
        <v>0</v>
      </c>
      <c r="AG72" s="805">
        <f t="shared" ref="AG72" si="199">AG65+AG71</f>
        <v>0</v>
      </c>
      <c r="AH72" s="445">
        <f t="shared" si="195"/>
        <v>0</v>
      </c>
      <c r="AI72" s="445">
        <f t="shared" si="195"/>
        <v>0</v>
      </c>
      <c r="AJ72" s="445">
        <f t="shared" ref="AJ72" si="200">AJ65+AJ71</f>
        <v>0</v>
      </c>
      <c r="AK72" s="445">
        <f t="shared" ref="AK72" si="201">AK65+AK71</f>
        <v>0</v>
      </c>
      <c r="AL72" s="445">
        <f t="shared" si="195"/>
        <v>0</v>
      </c>
      <c r="AM72" s="445">
        <f>AM65+AM71</f>
        <v>0</v>
      </c>
      <c r="AN72" s="445">
        <f t="shared" ref="AN72" si="202">AN65+AN71</f>
        <v>0</v>
      </c>
      <c r="AO72" s="445">
        <f>AO65+AO71</f>
        <v>8182</v>
      </c>
      <c r="AP72" s="445">
        <f t="shared" ref="AP72:AS72" si="203">AP65+AP71</f>
        <v>31033</v>
      </c>
      <c r="AQ72" s="445">
        <f t="shared" ref="AQ72:AR72" si="204">AQ65+AQ71</f>
        <v>5875</v>
      </c>
      <c r="AR72" s="445">
        <f t="shared" si="204"/>
        <v>0</v>
      </c>
      <c r="AS72" s="502">
        <f t="shared" si="203"/>
        <v>0</v>
      </c>
      <c r="AT72" s="614">
        <f t="shared" si="195"/>
        <v>591799</v>
      </c>
      <c r="AU72" s="298"/>
      <c r="AV72" s="445">
        <f>AV65+AV71</f>
        <v>0</v>
      </c>
      <c r="AW72" s="445">
        <f t="shared" ref="AW72:BA72" si="205">AW65+AW71</f>
        <v>0</v>
      </c>
      <c r="AX72" s="805">
        <f t="shared" si="205"/>
        <v>0</v>
      </c>
      <c r="AY72" s="445">
        <f t="shared" si="205"/>
        <v>0</v>
      </c>
      <c r="AZ72" s="445">
        <f t="shared" si="205"/>
        <v>0</v>
      </c>
      <c r="BA72" s="445">
        <f t="shared" si="205"/>
        <v>0</v>
      </c>
      <c r="BB72" s="445">
        <f>BB65+BB71</f>
        <v>0</v>
      </c>
      <c r="BC72" s="445">
        <f t="shared" ref="BC72" si="206">BC65+BC71</f>
        <v>0</v>
      </c>
      <c r="BD72" s="445">
        <f t="shared" ref="BD72" si="207">BD65+BD71</f>
        <v>20739</v>
      </c>
      <c r="BE72" s="445">
        <f t="shared" ref="BE72" si="208">BE65+BE71</f>
        <v>0</v>
      </c>
      <c r="BF72" s="901">
        <f>BF65+BF71</f>
        <v>612538</v>
      </c>
      <c r="BG72" s="445">
        <f>BG65+BG71</f>
        <v>20739</v>
      </c>
      <c r="BJ72" s="628"/>
      <c r="BM72" s="628"/>
      <c r="BN72" s="628"/>
    </row>
    <row r="73" spans="1:66" s="282" customFormat="1" ht="13.5" customHeight="1">
      <c r="A73" s="4">
        <v>41</v>
      </c>
      <c r="B73" s="5" t="s">
        <v>110</v>
      </c>
      <c r="C73" s="5"/>
      <c r="D73" s="5"/>
      <c r="E73" s="213">
        <f>'ROO INPUT 1.00'!$F74</f>
        <v>-97558</v>
      </c>
      <c r="F73" s="702">
        <v>227</v>
      </c>
      <c r="G73" s="702">
        <v>0</v>
      </c>
      <c r="H73" s="702">
        <v>0</v>
      </c>
      <c r="I73" s="702">
        <v>0</v>
      </c>
      <c r="J73" s="702">
        <v>0</v>
      </c>
      <c r="K73" s="702">
        <v>0</v>
      </c>
      <c r="L73" s="702">
        <v>0</v>
      </c>
      <c r="M73" s="702">
        <v>0</v>
      </c>
      <c r="N73" s="702">
        <v>0</v>
      </c>
      <c r="O73" s="702">
        <v>0</v>
      </c>
      <c r="P73" s="702">
        <v>0</v>
      </c>
      <c r="Q73" s="702">
        <v>0</v>
      </c>
      <c r="R73" s="702">
        <v>0</v>
      </c>
      <c r="S73" s="702">
        <v>0</v>
      </c>
      <c r="T73" s="755">
        <v>0</v>
      </c>
      <c r="U73" s="755">
        <v>0</v>
      </c>
      <c r="V73" s="702">
        <v>0</v>
      </c>
      <c r="W73" s="702">
        <v>11396</v>
      </c>
      <c r="X73" s="755">
        <v>0</v>
      </c>
      <c r="Y73" s="552">
        <f>SUM(E73:X73)</f>
        <v>-85935</v>
      </c>
      <c r="Z73" s="298"/>
      <c r="AA73" s="702">
        <v>0</v>
      </c>
      <c r="AB73" s="702"/>
      <c r="AC73" s="702"/>
      <c r="AD73" s="702">
        <v>0</v>
      </c>
      <c r="AE73" s="702"/>
      <c r="AF73" s="702"/>
      <c r="AG73" s="797"/>
      <c r="AH73" s="702"/>
      <c r="AI73" s="702"/>
      <c r="AJ73" s="702"/>
      <c r="AK73" s="702">
        <v>0</v>
      </c>
      <c r="AL73" s="702"/>
      <c r="AM73" s="702"/>
      <c r="AN73" s="702"/>
      <c r="AO73" s="702">
        <v>2566</v>
      </c>
      <c r="AP73" s="702">
        <v>1006</v>
      </c>
      <c r="AQ73" s="702">
        <v>712</v>
      </c>
      <c r="AR73" s="702"/>
      <c r="AS73" s="497"/>
      <c r="AT73" s="615">
        <f>SUM(Y73:AS73)</f>
        <v>-81651</v>
      </c>
      <c r="AU73" s="298"/>
      <c r="AV73" s="702"/>
      <c r="AW73" s="702">
        <v>0</v>
      </c>
      <c r="AX73" s="797"/>
      <c r="AY73" s="702"/>
      <c r="AZ73" s="702">
        <v>0</v>
      </c>
      <c r="BA73" s="702"/>
      <c r="BB73" s="702"/>
      <c r="BC73" s="702">
        <v>0</v>
      </c>
      <c r="BD73" s="702">
        <v>1459</v>
      </c>
      <c r="BE73" s="702"/>
      <c r="BF73" s="895">
        <f>SUM(AT73:BE73)</f>
        <v>-80192</v>
      </c>
      <c r="BG73" s="647">
        <f>BF73-AT73</f>
        <v>1459</v>
      </c>
      <c r="BH73" s="344"/>
      <c r="BI73" s="344"/>
      <c r="BJ73" s="628"/>
      <c r="BK73" s="344"/>
      <c r="BL73" s="344"/>
      <c r="BM73" s="628"/>
      <c r="BN73" s="628"/>
    </row>
    <row r="74" spans="1:66" s="282" customFormat="1">
      <c r="A74" s="4">
        <v>42</v>
      </c>
      <c r="B74" s="5" t="s">
        <v>195</v>
      </c>
      <c r="C74" s="5"/>
      <c r="D74" s="5"/>
      <c r="E74" s="219">
        <f>E72+E73</f>
        <v>438149</v>
      </c>
      <c r="F74" s="445">
        <f>F72+F73</f>
        <v>227</v>
      </c>
      <c r="G74" s="445">
        <f t="shared" ref="G74:AL74" si="209">G72+G73</f>
        <v>0</v>
      </c>
      <c r="H74" s="445">
        <f t="shared" si="209"/>
        <v>0</v>
      </c>
      <c r="I74" s="445">
        <f t="shared" si="209"/>
        <v>0</v>
      </c>
      <c r="J74" s="445">
        <f>J72+J73</f>
        <v>0</v>
      </c>
      <c r="K74" s="445">
        <f t="shared" si="209"/>
        <v>0</v>
      </c>
      <c r="L74" s="445">
        <f t="shared" si="209"/>
        <v>0</v>
      </c>
      <c r="M74" s="445">
        <f t="shared" si="209"/>
        <v>0</v>
      </c>
      <c r="N74" s="445">
        <f t="shared" si="209"/>
        <v>0</v>
      </c>
      <c r="O74" s="445">
        <f t="shared" si="209"/>
        <v>0</v>
      </c>
      <c r="P74" s="445">
        <f t="shared" si="209"/>
        <v>0</v>
      </c>
      <c r="Q74" s="445">
        <f t="shared" ref="Q74:Y74" si="210">Q72+Q73</f>
        <v>0</v>
      </c>
      <c r="R74" s="445">
        <f t="shared" si="210"/>
        <v>0</v>
      </c>
      <c r="S74" s="445">
        <f t="shared" si="210"/>
        <v>0</v>
      </c>
      <c r="T74" s="764">
        <f t="shared" si="210"/>
        <v>0</v>
      </c>
      <c r="U74" s="764">
        <f>U72+U73</f>
        <v>0</v>
      </c>
      <c r="V74" s="445">
        <f>V72+V73</f>
        <v>0</v>
      </c>
      <c r="W74" s="445">
        <f>W72+W73</f>
        <v>26495</v>
      </c>
      <c r="X74" s="764">
        <f>X72+X73</f>
        <v>0</v>
      </c>
      <c r="Y74" s="298">
        <f t="shared" si="210"/>
        <v>464871</v>
      </c>
      <c r="Z74" s="298"/>
      <c r="AA74" s="445">
        <f>AA72+AA73</f>
        <v>0</v>
      </c>
      <c r="AB74" s="445">
        <f>AB72+AB73</f>
        <v>0</v>
      </c>
      <c r="AC74" s="445">
        <f>AC72+AC73</f>
        <v>0</v>
      </c>
      <c r="AD74" s="445">
        <f t="shared" ref="AD74" si="211">AD72+AD73</f>
        <v>-4097</v>
      </c>
      <c r="AE74" s="445">
        <f>AE72+AE73</f>
        <v>0</v>
      </c>
      <c r="AF74" s="445">
        <f>AF72+AF73</f>
        <v>0</v>
      </c>
      <c r="AG74" s="805">
        <f t="shared" ref="AG74" si="212">AG72+AG73</f>
        <v>0</v>
      </c>
      <c r="AH74" s="445">
        <f t="shared" si="209"/>
        <v>0</v>
      </c>
      <c r="AI74" s="445">
        <f t="shared" si="209"/>
        <v>0</v>
      </c>
      <c r="AJ74" s="445">
        <f t="shared" ref="AJ74" si="213">AJ72+AJ73</f>
        <v>0</v>
      </c>
      <c r="AK74" s="445">
        <f t="shared" ref="AK74" si="214">AK72+AK73</f>
        <v>0</v>
      </c>
      <c r="AL74" s="445">
        <f t="shared" si="209"/>
        <v>0</v>
      </c>
      <c r="AM74" s="445">
        <f>AM72+AM73</f>
        <v>0</v>
      </c>
      <c r="AN74" s="445">
        <f t="shared" ref="AN74" si="215">AN72+AN73</f>
        <v>0</v>
      </c>
      <c r="AO74" s="445">
        <f>AO72+AO73</f>
        <v>10748</v>
      </c>
      <c r="AP74" s="445">
        <f>AP72+AP73</f>
        <v>32039</v>
      </c>
      <c r="AQ74" s="445">
        <f>AQ72+AQ73</f>
        <v>6587</v>
      </c>
      <c r="AR74" s="445">
        <f>AR72+AR73</f>
        <v>0</v>
      </c>
      <c r="AS74" s="502">
        <f t="shared" ref="AS74" si="216">AS72+AS73</f>
        <v>0</v>
      </c>
      <c r="AT74" s="614">
        <f t="shared" ref="AT74" si="217">AT72+AT73</f>
        <v>510148</v>
      </c>
      <c r="AU74" s="298"/>
      <c r="AV74" s="445">
        <f>AV72+AV73</f>
        <v>0</v>
      </c>
      <c r="AW74" s="445">
        <f t="shared" ref="AW74" si="218">AW72+AW73</f>
        <v>0</v>
      </c>
      <c r="AX74" s="805">
        <f t="shared" ref="AX74:BA74" si="219">AX72+AX73</f>
        <v>0</v>
      </c>
      <c r="AY74" s="445">
        <f t="shared" si="219"/>
        <v>0</v>
      </c>
      <c r="AZ74" s="445">
        <f>AZ72+AZ73</f>
        <v>0</v>
      </c>
      <c r="BA74" s="445">
        <f t="shared" si="219"/>
        <v>0</v>
      </c>
      <c r="BB74" s="445">
        <f>BB72+BB73</f>
        <v>0</v>
      </c>
      <c r="BC74" s="445">
        <f t="shared" ref="BC74" si="220">BC72+BC73</f>
        <v>0</v>
      </c>
      <c r="BD74" s="445">
        <f>BD72+BD73</f>
        <v>22198</v>
      </c>
      <c r="BE74" s="445">
        <f>BE72+BE73</f>
        <v>0</v>
      </c>
      <c r="BF74" s="901">
        <f>BF72+BF73</f>
        <v>532346</v>
      </c>
      <c r="BG74" s="445">
        <f>BG72+BG73</f>
        <v>22198</v>
      </c>
      <c r="BH74" s="344"/>
      <c r="BI74" s="344"/>
      <c r="BJ74" s="344"/>
      <c r="BK74" s="344"/>
      <c r="BL74" s="344"/>
      <c r="BM74" s="344"/>
      <c r="BN74" s="344"/>
    </row>
    <row r="75" spans="1:66">
      <c r="A75" s="113">
        <v>43</v>
      </c>
      <c r="B75" s="3" t="s">
        <v>66</v>
      </c>
      <c r="C75" s="3"/>
      <c r="D75" s="3"/>
      <c r="E75" s="211">
        <f>'ROO INPUT 1.00'!$F76</f>
        <v>11642</v>
      </c>
      <c r="F75" s="648">
        <v>0</v>
      </c>
      <c r="G75" s="648">
        <v>0</v>
      </c>
      <c r="H75" s="648">
        <v>0</v>
      </c>
      <c r="I75" s="648">
        <v>0</v>
      </c>
      <c r="J75" s="648">
        <v>0</v>
      </c>
      <c r="K75" s="648">
        <v>0</v>
      </c>
      <c r="L75" s="648">
        <v>0</v>
      </c>
      <c r="M75" s="648">
        <v>0</v>
      </c>
      <c r="N75" s="648">
        <v>0</v>
      </c>
      <c r="O75" s="648">
        <v>0</v>
      </c>
      <c r="P75" s="648">
        <v>0</v>
      </c>
      <c r="Q75" s="648">
        <v>0</v>
      </c>
      <c r="R75" s="648">
        <v>0</v>
      </c>
      <c r="S75" s="648">
        <v>0</v>
      </c>
      <c r="T75" s="754">
        <v>0</v>
      </c>
      <c r="U75" s="754">
        <v>0</v>
      </c>
      <c r="V75" s="648">
        <v>0</v>
      </c>
      <c r="W75" s="648">
        <v>0</v>
      </c>
      <c r="X75" s="754">
        <v>0</v>
      </c>
      <c r="Y75" s="288">
        <f>SUM(E75:X75)</f>
        <v>11642</v>
      </c>
      <c r="Z75" s="298"/>
      <c r="AA75" s="648">
        <v>0</v>
      </c>
      <c r="AB75" s="648"/>
      <c r="AC75" s="648">
        <v>0</v>
      </c>
      <c r="AD75" s="648">
        <v>0</v>
      </c>
      <c r="AE75" s="648">
        <v>0</v>
      </c>
      <c r="AF75" s="648"/>
      <c r="AG75" s="796"/>
      <c r="AH75" s="648"/>
      <c r="AI75" s="648"/>
      <c r="AJ75" s="648"/>
      <c r="AK75" s="648">
        <v>0</v>
      </c>
      <c r="AL75" s="648"/>
      <c r="AM75" s="648">
        <v>0</v>
      </c>
      <c r="AN75" s="648">
        <v>0</v>
      </c>
      <c r="AO75" s="648">
        <v>0</v>
      </c>
      <c r="AP75" s="703">
        <v>0</v>
      </c>
      <c r="AQ75" s="703">
        <v>0</v>
      </c>
      <c r="AR75" s="703">
        <v>0</v>
      </c>
      <c r="AS75" s="496"/>
      <c r="AT75" s="614">
        <f>SUM(Y75:AS75)</f>
        <v>11642</v>
      </c>
      <c r="AU75" s="298"/>
      <c r="AV75" s="648">
        <v>0</v>
      </c>
      <c r="AW75" s="648">
        <v>0</v>
      </c>
      <c r="AX75" s="796"/>
      <c r="AY75" s="648"/>
      <c r="AZ75" s="648">
        <v>0</v>
      </c>
      <c r="BA75" s="648"/>
      <c r="BB75" s="648"/>
      <c r="BC75" s="648">
        <v>0</v>
      </c>
      <c r="BD75" s="703">
        <v>0</v>
      </c>
      <c r="BE75" s="703">
        <v>0</v>
      </c>
      <c r="BF75" s="894">
        <f>SUM(AT75:BE75)</f>
        <v>11642</v>
      </c>
      <c r="BG75" s="646">
        <f>BF75-AT75</f>
        <v>0</v>
      </c>
    </row>
    <row r="76" spans="1:66" s="282" customFormat="1">
      <c r="A76" s="4">
        <v>44</v>
      </c>
      <c r="B76" s="5" t="s">
        <v>67</v>
      </c>
      <c r="C76" s="5"/>
      <c r="D76" s="5"/>
      <c r="E76" s="211">
        <f>'ROO INPUT 1.00'!$F77</f>
        <v>0</v>
      </c>
      <c r="F76" s="703">
        <v>0</v>
      </c>
      <c r="G76" s="703">
        <v>0</v>
      </c>
      <c r="H76" s="703">
        <v>0</v>
      </c>
      <c r="I76" s="703">
        <v>0</v>
      </c>
      <c r="J76" s="703">
        <v>0</v>
      </c>
      <c r="K76" s="703">
        <v>0</v>
      </c>
      <c r="L76" s="703">
        <v>0</v>
      </c>
      <c r="M76" s="703">
        <v>0</v>
      </c>
      <c r="N76" s="703">
        <v>0</v>
      </c>
      <c r="O76" s="703">
        <v>0</v>
      </c>
      <c r="P76" s="703">
        <v>0</v>
      </c>
      <c r="Q76" s="703">
        <v>0</v>
      </c>
      <c r="R76" s="703">
        <v>0</v>
      </c>
      <c r="S76" s="703">
        <v>0</v>
      </c>
      <c r="T76" s="765">
        <v>0</v>
      </c>
      <c r="U76" s="765">
        <v>0</v>
      </c>
      <c r="V76" s="703">
        <v>0</v>
      </c>
      <c r="W76" s="703">
        <v>0</v>
      </c>
      <c r="X76" s="765">
        <v>0</v>
      </c>
      <c r="Y76" s="298">
        <f>SUM(E76:X76)</f>
        <v>0</v>
      </c>
      <c r="Z76" s="298"/>
      <c r="AA76" s="703">
        <v>0</v>
      </c>
      <c r="AB76" s="703"/>
      <c r="AC76" s="703">
        <v>0</v>
      </c>
      <c r="AD76" s="703">
        <v>0</v>
      </c>
      <c r="AE76" s="703">
        <v>0</v>
      </c>
      <c r="AF76" s="703"/>
      <c r="AG76" s="806"/>
      <c r="AH76" s="703"/>
      <c r="AI76" s="703"/>
      <c r="AJ76" s="703"/>
      <c r="AK76" s="703">
        <v>0</v>
      </c>
      <c r="AL76" s="703"/>
      <c r="AM76" s="703">
        <v>0</v>
      </c>
      <c r="AN76" s="703">
        <v>0</v>
      </c>
      <c r="AO76" s="703">
        <v>0</v>
      </c>
      <c r="AP76" s="703"/>
      <c r="AQ76" s="703"/>
      <c r="AR76" s="703"/>
      <c r="AS76" s="503"/>
      <c r="AT76" s="614">
        <f>SUM(Y76:AS76)</f>
        <v>0</v>
      </c>
      <c r="AU76" s="298"/>
      <c r="AV76" s="703">
        <v>0</v>
      </c>
      <c r="AW76" s="703">
        <v>0</v>
      </c>
      <c r="AX76" s="806"/>
      <c r="AY76" s="703"/>
      <c r="AZ76" s="703">
        <v>0</v>
      </c>
      <c r="BA76" s="703"/>
      <c r="BB76" s="703"/>
      <c r="BC76" s="703">
        <v>0</v>
      </c>
      <c r="BD76" s="703"/>
      <c r="BE76" s="703"/>
      <c r="BF76" s="894">
        <f>SUM(AT76:BE76)</f>
        <v>0</v>
      </c>
      <c r="BG76" s="646">
        <f>BF76-AT76</f>
        <v>0</v>
      </c>
      <c r="BH76" s="344"/>
      <c r="BI76" s="344"/>
      <c r="BJ76" s="344"/>
      <c r="BK76" s="344"/>
      <c r="BL76" s="344"/>
      <c r="BM76" s="344"/>
      <c r="BN76" s="344"/>
    </row>
    <row r="77" spans="1:66" s="282" customFormat="1">
      <c r="A77" s="4">
        <v>45</v>
      </c>
      <c r="B77" s="5" t="s">
        <v>386</v>
      </c>
      <c r="C77" s="5"/>
      <c r="D77" s="5"/>
      <c r="E77" s="211">
        <f>'ROO INPUT 1.00'!$F78</f>
        <v>-5644</v>
      </c>
      <c r="F77" s="703"/>
      <c r="G77" s="703">
        <v>1</v>
      </c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65"/>
      <c r="U77" s="765"/>
      <c r="V77" s="703"/>
      <c r="W77" s="703"/>
      <c r="X77" s="703">
        <v>-12206</v>
      </c>
      <c r="Y77" s="298">
        <f>SUM(E77:X77)</f>
        <v>-17849</v>
      </c>
      <c r="Z77" s="298"/>
      <c r="AA77" s="703"/>
      <c r="AB77" s="703">
        <v>0</v>
      </c>
      <c r="AC77" s="703"/>
      <c r="AD77" s="703">
        <v>12714</v>
      </c>
      <c r="AE77" s="703"/>
      <c r="AF77" s="703">
        <v>-4202</v>
      </c>
      <c r="AG77" s="806"/>
      <c r="AH77" s="703"/>
      <c r="AI77" s="703"/>
      <c r="AJ77" s="703"/>
      <c r="AK77" s="703"/>
      <c r="AL77" s="703"/>
      <c r="AM77" s="703"/>
      <c r="AN77" s="703"/>
      <c r="AO77" s="703"/>
      <c r="AP77" s="703"/>
      <c r="AQ77" s="703"/>
      <c r="AR77" s="703"/>
      <c r="AS77" s="503"/>
      <c r="AT77" s="614">
        <f>SUM(Y77:AS77)</f>
        <v>-9337</v>
      </c>
      <c r="AU77" s="298"/>
      <c r="AV77" s="703"/>
      <c r="AW77" s="703">
        <v>-848</v>
      </c>
      <c r="AX77" s="806"/>
      <c r="AY77" s="703"/>
      <c r="AZ77" s="703"/>
      <c r="BA77" s="703"/>
      <c r="BB77" s="703">
        <v>-1250</v>
      </c>
      <c r="BC77" s="703"/>
      <c r="BD77" s="703"/>
      <c r="BE77" s="703"/>
      <c r="BF77" s="894">
        <f>SUM(AT77:BE77)</f>
        <v>-11435</v>
      </c>
      <c r="BG77" s="646">
        <f>BF77-AT77</f>
        <v>-2098</v>
      </c>
      <c r="BH77" s="344"/>
      <c r="BI77" s="344"/>
      <c r="BJ77" s="344"/>
      <c r="BK77" s="344"/>
      <c r="BL77" s="344"/>
      <c r="BM77" s="344"/>
      <c r="BN77" s="344"/>
    </row>
    <row r="78" spans="1:66">
      <c r="A78" s="113">
        <v>46</v>
      </c>
      <c r="B78" s="3" t="s">
        <v>168</v>
      </c>
      <c r="C78" s="3"/>
      <c r="D78" s="3"/>
      <c r="E78" s="213">
        <f>'ROO INPUT 1.00'!$F79</f>
        <v>2649</v>
      </c>
      <c r="F78" s="702">
        <v>0</v>
      </c>
      <c r="G78" s="702">
        <v>0</v>
      </c>
      <c r="H78" s="702">
        <v>-160</v>
      </c>
      <c r="I78" s="702">
        <v>0</v>
      </c>
      <c r="J78" s="702">
        <v>0</v>
      </c>
      <c r="K78" s="702">
        <v>0</v>
      </c>
      <c r="L78" s="702">
        <v>0</v>
      </c>
      <c r="M78" s="702">
        <v>0</v>
      </c>
      <c r="N78" s="702">
        <v>0</v>
      </c>
      <c r="O78" s="702">
        <v>0</v>
      </c>
      <c r="P78" s="702">
        <v>0</v>
      </c>
      <c r="Q78" s="702">
        <v>0</v>
      </c>
      <c r="R78" s="702">
        <v>0</v>
      </c>
      <c r="S78" s="702">
        <v>0</v>
      </c>
      <c r="T78" s="755">
        <v>0</v>
      </c>
      <c r="U78" s="755">
        <v>0</v>
      </c>
      <c r="V78" s="702">
        <v>0</v>
      </c>
      <c r="W78" s="702">
        <v>0</v>
      </c>
      <c r="X78" s="755">
        <v>0</v>
      </c>
      <c r="Y78" s="552">
        <f>SUM(E78:X78)</f>
        <v>2489</v>
      </c>
      <c r="Z78" s="298"/>
      <c r="AA78" s="702">
        <v>0</v>
      </c>
      <c r="AB78" s="702"/>
      <c r="AC78" s="702">
        <v>0</v>
      </c>
      <c r="AD78" s="702">
        <v>0</v>
      </c>
      <c r="AE78" s="702">
        <v>0</v>
      </c>
      <c r="AF78" s="702"/>
      <c r="AG78" s="797"/>
      <c r="AH78" s="702"/>
      <c r="AI78" s="702"/>
      <c r="AJ78" s="702"/>
      <c r="AK78" s="702">
        <v>0</v>
      </c>
      <c r="AL78" s="702"/>
      <c r="AM78" s="702">
        <v>0</v>
      </c>
      <c r="AN78" s="702">
        <v>0</v>
      </c>
      <c r="AO78" s="702">
        <v>0</v>
      </c>
      <c r="AP78" s="702"/>
      <c r="AQ78" s="702"/>
      <c r="AR78" s="702"/>
      <c r="AS78" s="497"/>
      <c r="AT78" s="615">
        <f>SUM(Y78:AS78)</f>
        <v>2489</v>
      </c>
      <c r="AU78" s="298"/>
      <c r="AV78" s="702">
        <v>0</v>
      </c>
      <c r="AW78" s="702">
        <v>0</v>
      </c>
      <c r="AX78" s="797"/>
      <c r="AY78" s="702"/>
      <c r="AZ78" s="702">
        <v>0</v>
      </c>
      <c r="BA78" s="702"/>
      <c r="BB78" s="702"/>
      <c r="BC78" s="702">
        <v>0</v>
      </c>
      <c r="BD78" s="702"/>
      <c r="BE78" s="702"/>
      <c r="BF78" s="895">
        <f>SUM(AT78:BE78)</f>
        <v>2489</v>
      </c>
      <c r="BG78" s="647">
        <f>BF78-AT78</f>
        <v>0</v>
      </c>
    </row>
    <row r="79" spans="1:66" ht="4.5" customHeight="1">
      <c r="Z79" s="300"/>
      <c r="AP79" s="281"/>
      <c r="AQ79" s="281"/>
      <c r="AR79" s="281"/>
      <c r="AT79" s="612"/>
      <c r="BD79" s="281"/>
      <c r="BE79" s="281"/>
      <c r="BF79" s="892"/>
    </row>
    <row r="80" spans="1:66" ht="2.25" customHeight="1">
      <c r="E80" s="211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756"/>
      <c r="U80" s="756"/>
      <c r="V80" s="253"/>
      <c r="W80" s="253"/>
      <c r="X80" s="756"/>
      <c r="Y80" s="288"/>
      <c r="Z80" s="298"/>
      <c r="AA80" s="253"/>
      <c r="AB80" s="253"/>
      <c r="AC80" s="253"/>
      <c r="AD80" s="253"/>
      <c r="AE80" s="253"/>
      <c r="AF80" s="253"/>
      <c r="AG80" s="173"/>
      <c r="AH80" s="253"/>
      <c r="AI80" s="253"/>
      <c r="AJ80" s="253"/>
      <c r="AK80" s="253"/>
      <c r="AL80" s="253"/>
      <c r="AM80" s="253"/>
      <c r="AN80" s="253"/>
      <c r="AO80" s="253"/>
      <c r="AP80" s="445"/>
      <c r="AQ80" s="445"/>
      <c r="AR80" s="445"/>
      <c r="AS80" s="498"/>
      <c r="AT80" s="614"/>
      <c r="AU80" s="298"/>
      <c r="AV80" s="253"/>
      <c r="AW80" s="253"/>
      <c r="AX80" s="173"/>
      <c r="AY80" s="253"/>
      <c r="AZ80" s="253"/>
      <c r="BA80" s="253"/>
      <c r="BB80" s="253"/>
      <c r="BC80" s="253"/>
      <c r="BD80" s="445"/>
      <c r="BE80" s="445"/>
      <c r="BF80" s="896"/>
      <c r="BG80" s="253"/>
    </row>
    <row r="81" spans="1:66" s="283" customFormat="1" ht="12.75" thickBot="1">
      <c r="A81" s="279">
        <v>47</v>
      </c>
      <c r="B81" s="283" t="s">
        <v>68</v>
      </c>
      <c r="E81" s="712">
        <f>E74+E75+E76+E78+E77</f>
        <v>446796</v>
      </c>
      <c r="F81" s="446">
        <f t="shared" ref="F81:AL81" si="221">F74+F75+F76+F78+F77</f>
        <v>227</v>
      </c>
      <c r="G81" s="446">
        <f>G74+G75+G76+G78+G77</f>
        <v>1</v>
      </c>
      <c r="H81" s="446">
        <f t="shared" si="221"/>
        <v>-160</v>
      </c>
      <c r="I81" s="446">
        <f t="shared" si="221"/>
        <v>0</v>
      </c>
      <c r="J81" s="446">
        <f>J74+J75+J76+J78+J77</f>
        <v>0</v>
      </c>
      <c r="K81" s="446">
        <f t="shared" si="221"/>
        <v>0</v>
      </c>
      <c r="L81" s="446">
        <f t="shared" si="221"/>
        <v>0</v>
      </c>
      <c r="M81" s="446">
        <f t="shared" si="221"/>
        <v>0</v>
      </c>
      <c r="N81" s="446">
        <f t="shared" si="221"/>
        <v>0</v>
      </c>
      <c r="O81" s="446">
        <f t="shared" si="221"/>
        <v>0</v>
      </c>
      <c r="P81" s="446">
        <f t="shared" si="221"/>
        <v>0</v>
      </c>
      <c r="Q81" s="446">
        <f t="shared" ref="Q81:T81" si="222">Q74+Q75+Q76+Q78+Q77</f>
        <v>0</v>
      </c>
      <c r="R81" s="446">
        <f t="shared" si="222"/>
        <v>0</v>
      </c>
      <c r="S81" s="446">
        <f t="shared" si="222"/>
        <v>0</v>
      </c>
      <c r="T81" s="766">
        <f t="shared" si="222"/>
        <v>0</v>
      </c>
      <c r="U81" s="766">
        <f>U74+U75+U76+U78+U77</f>
        <v>0</v>
      </c>
      <c r="V81" s="446">
        <f>V74+V75+V76+V78+V77</f>
        <v>0</v>
      </c>
      <c r="W81" s="649">
        <f>W74+W75+W76+W78+W77</f>
        <v>26495</v>
      </c>
      <c r="X81" s="766">
        <f>X74+X75+X76+X78+X77</f>
        <v>-12206</v>
      </c>
      <c r="Y81" s="446">
        <f t="shared" si="221"/>
        <v>461153</v>
      </c>
      <c r="Z81" s="590"/>
      <c r="AA81" s="446">
        <f t="shared" ref="AA81:AG81" si="223">AA74+AA75+AA76+AA78+AA77</f>
        <v>0</v>
      </c>
      <c r="AB81" s="446">
        <f t="shared" si="223"/>
        <v>0</v>
      </c>
      <c r="AC81" s="446">
        <f t="shared" si="223"/>
        <v>0</v>
      </c>
      <c r="AD81" s="446">
        <f t="shared" si="223"/>
        <v>8617</v>
      </c>
      <c r="AE81" s="446">
        <f t="shared" si="223"/>
        <v>0</v>
      </c>
      <c r="AF81" s="446">
        <f>AF74+AF75+AF76+AF78+AF77</f>
        <v>-4202</v>
      </c>
      <c r="AG81" s="807">
        <f t="shared" si="223"/>
        <v>0</v>
      </c>
      <c r="AH81" s="446">
        <f t="shared" si="221"/>
        <v>0</v>
      </c>
      <c r="AI81" s="446">
        <f t="shared" si="221"/>
        <v>0</v>
      </c>
      <c r="AJ81" s="446">
        <f t="shared" ref="AJ81" si="224">AJ74+AJ75+AJ76+AJ78+AJ77</f>
        <v>0</v>
      </c>
      <c r="AK81" s="446">
        <f t="shared" ref="AK81" si="225">AK74+AK75+AK76+AK78+AK77</f>
        <v>0</v>
      </c>
      <c r="AL81" s="446">
        <f t="shared" si="221"/>
        <v>0</v>
      </c>
      <c r="AM81" s="446">
        <f>AM74+AM75+AM76+AM78+AM77</f>
        <v>0</v>
      </c>
      <c r="AN81" s="446">
        <f t="shared" ref="AN81" si="226">AN74+AN75+AN76+AN78+AN77</f>
        <v>0</v>
      </c>
      <c r="AO81" s="649">
        <f>AO74+AO75+AO76+AO78+AO77</f>
        <v>10748</v>
      </c>
      <c r="AP81" s="446">
        <f>AP74+AP75+AP76+AP78+AP77</f>
        <v>32039</v>
      </c>
      <c r="AQ81" s="446">
        <f>AQ74+AQ75+AQ76+AQ78+AQ77</f>
        <v>6587</v>
      </c>
      <c r="AR81" s="446">
        <f>AR74+AR75+AR76+AR78+AR77</f>
        <v>0</v>
      </c>
      <c r="AS81" s="510">
        <f t="shared" ref="AS81" si="227">AS74+AS75+AS76+AS78+AS77</f>
        <v>0</v>
      </c>
      <c r="AT81" s="616">
        <f t="shared" ref="AT81" si="228">AT74+AT75+AT76+AT78+AT77</f>
        <v>514942</v>
      </c>
      <c r="AU81" s="590"/>
      <c r="AV81" s="446">
        <f t="shared" ref="AV81" si="229">AV74+AV75+AV76+AV78+AV77</f>
        <v>0</v>
      </c>
      <c r="AW81" s="446">
        <f>AW74+AW75+AW76+AW78+AW77</f>
        <v>-848</v>
      </c>
      <c r="AX81" s="807">
        <f>AX74+AX75+AX76+AX78+AX77</f>
        <v>0</v>
      </c>
      <c r="AY81" s="446">
        <f t="shared" ref="AY81:BA81" si="230">AY74+AY75+AY76+AY78+AY77</f>
        <v>0</v>
      </c>
      <c r="AZ81" s="446">
        <f>AZ74+AZ75+AZ76+AZ78+AZ77</f>
        <v>0</v>
      </c>
      <c r="BA81" s="446">
        <f t="shared" si="230"/>
        <v>0</v>
      </c>
      <c r="BB81" s="446">
        <f>BB74+BB75+BB76+BB78+BB77</f>
        <v>-1250</v>
      </c>
      <c r="BC81" s="446">
        <f t="shared" ref="BC81" si="231">BC74+BC75+BC76+BC78+BC77</f>
        <v>0</v>
      </c>
      <c r="BD81" s="446">
        <f>BD74+BD75+BD76+BD78+BD77</f>
        <v>22198</v>
      </c>
      <c r="BE81" s="446">
        <f>BE74+BE75+BE76+BE78+BE77</f>
        <v>0</v>
      </c>
      <c r="BF81" s="899">
        <f>BF74+BF75+BF76+BF78+BF77</f>
        <v>535042</v>
      </c>
      <c r="BG81" s="649">
        <f>BG74+BG75+BG76+BG78+BG77</f>
        <v>20100</v>
      </c>
      <c r="BH81" s="631"/>
      <c r="BI81" s="631"/>
      <c r="BJ81" s="631"/>
      <c r="BK81" s="631"/>
      <c r="BL81" s="631"/>
      <c r="BM81" s="631"/>
      <c r="BN81" s="631"/>
    </row>
    <row r="82" spans="1:66" ht="12.75" thickTop="1">
      <c r="A82" s="113">
        <v>48</v>
      </c>
      <c r="B82" s="1" t="s">
        <v>418</v>
      </c>
      <c r="E82" s="6">
        <f>ROUND(E58/E81,4)</f>
        <v>6.5799999999999997E-2</v>
      </c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756"/>
      <c r="U82" s="759"/>
      <c r="V82" s="253"/>
      <c r="W82" s="253"/>
      <c r="X82" s="759"/>
      <c r="Y82" s="592" t="s">
        <v>405</v>
      </c>
      <c r="Z82" s="593"/>
      <c r="AA82" s="253"/>
      <c r="AB82" s="253"/>
      <c r="AC82" s="253"/>
      <c r="AD82" s="253"/>
      <c r="AE82" s="253"/>
      <c r="AF82" s="253"/>
      <c r="AG82" s="800"/>
      <c r="AH82" s="288"/>
      <c r="AI82" s="288"/>
      <c r="AJ82" s="288"/>
      <c r="AK82" s="253"/>
      <c r="AL82" s="253"/>
      <c r="AM82" s="253"/>
      <c r="AN82" s="253"/>
      <c r="AO82" s="253"/>
      <c r="AP82" s="825"/>
      <c r="AQ82" s="825"/>
      <c r="AR82" s="825"/>
      <c r="AS82" s="498"/>
      <c r="AT82" s="296"/>
      <c r="AU82" s="619"/>
      <c r="AV82" s="253"/>
      <c r="AW82" s="253"/>
      <c r="AX82" s="800"/>
      <c r="AY82" s="288"/>
      <c r="AZ82" s="253"/>
      <c r="BA82" s="253"/>
      <c r="BB82" s="253"/>
      <c r="BC82" s="253"/>
      <c r="BD82" s="825"/>
      <c r="BE82" s="825"/>
      <c r="BF82" s="896"/>
      <c r="BG82" s="253"/>
    </row>
    <row r="83" spans="1:66">
      <c r="A83" s="113">
        <v>50</v>
      </c>
      <c r="B83" s="1" t="s">
        <v>161</v>
      </c>
      <c r="E83" s="444">
        <f>E89</f>
        <v>4334.8087199505462</v>
      </c>
      <c r="F83" s="444">
        <f t="shared" ref="F83:AL83" si="232">F89</f>
        <v>20.488391886829664</v>
      </c>
      <c r="G83" s="444">
        <f t="shared" si="232"/>
        <v>9.025723298162848E-2</v>
      </c>
      <c r="H83" s="444">
        <f t="shared" si="232"/>
        <v>-14.441157277060558</v>
      </c>
      <c r="I83" s="444">
        <f t="shared" si="232"/>
        <v>-1.0457163355452219</v>
      </c>
      <c r="J83" s="444">
        <f t="shared" ref="J83" si="233">J89</f>
        <v>1.0457163355452219</v>
      </c>
      <c r="K83" s="444">
        <f t="shared" si="232"/>
        <v>2005.6839315757356</v>
      </c>
      <c r="L83" s="444">
        <f t="shared" si="232"/>
        <v>9.4114470199069977</v>
      </c>
      <c r="M83" s="444">
        <f t="shared" si="232"/>
        <v>-47.057235099534985</v>
      </c>
      <c r="N83" s="444">
        <f t="shared" si="232"/>
        <v>480.50003772520955</v>
      </c>
      <c r="O83" s="444">
        <f t="shared" si="232"/>
        <v>-17.777177704268773</v>
      </c>
      <c r="P83" s="444">
        <f t="shared" si="232"/>
        <v>2.0914326710904438</v>
      </c>
      <c r="Q83" s="444">
        <f t="shared" ref="Q83:T83" si="234">Q89</f>
        <v>-11.502879690997441</v>
      </c>
      <c r="R83" s="444">
        <f t="shared" si="234"/>
        <v>0</v>
      </c>
      <c r="S83" s="444">
        <f t="shared" si="234"/>
        <v>0</v>
      </c>
      <c r="T83" s="737">
        <f t="shared" si="234"/>
        <v>-502.98955739725176</v>
      </c>
      <c r="U83" s="737">
        <f>U89</f>
        <v>904.54463024661698</v>
      </c>
      <c r="V83" s="444">
        <f>V89</f>
        <v>332.24658255930467</v>
      </c>
      <c r="W83" s="444">
        <f>W89</f>
        <v>2391.3653878482469</v>
      </c>
      <c r="X83" s="737">
        <f>X89</f>
        <v>-1101.6797857737572</v>
      </c>
      <c r="Y83" s="444">
        <f t="shared" si="232"/>
        <v>8785.7830257735986</v>
      </c>
      <c r="Z83" s="444"/>
      <c r="AA83" s="444">
        <f>AA89</f>
        <v>-9095.6406865723402</v>
      </c>
      <c r="AB83" s="444">
        <f>AB89</f>
        <v>-519.72101876597526</v>
      </c>
      <c r="AC83" s="444">
        <f>AC89</f>
        <v>35.739672227494928</v>
      </c>
      <c r="AD83" s="444">
        <f t="shared" ref="AD83" si="235">AD89</f>
        <v>4350.9592951607165</v>
      </c>
      <c r="AE83" s="444">
        <f>AE89</f>
        <v>-173.58891170050683</v>
      </c>
      <c r="AF83" s="444">
        <f>AF89</f>
        <v>-787.09026385143943</v>
      </c>
      <c r="AG83" s="125">
        <f t="shared" ref="AG83" si="236">AG89</f>
        <v>1895.1517149086058</v>
      </c>
      <c r="AH83" s="444">
        <f t="shared" si="232"/>
        <v>20.91432671090444</v>
      </c>
      <c r="AI83" s="444">
        <f t="shared" si="232"/>
        <v>-125.48596026542663</v>
      </c>
      <c r="AJ83" s="444">
        <f t="shared" ref="AJ83" si="237">AJ89</f>
        <v>-24.464533670080467</v>
      </c>
      <c r="AK83" s="444">
        <f t="shared" ref="AK83" si="238">AK89</f>
        <v>605.46975828068355</v>
      </c>
      <c r="AL83" s="444">
        <f t="shared" si="232"/>
        <v>525.99531677924665</v>
      </c>
      <c r="AM83" s="444">
        <f>AM89</f>
        <v>387.96076048727735</v>
      </c>
      <c r="AN83" s="444">
        <f t="shared" ref="AN83" si="239">AN89</f>
        <v>2352.3158910495949</v>
      </c>
      <c r="AO83" s="444">
        <f>AO89</f>
        <v>1480.3943118326113</v>
      </c>
      <c r="AP83" s="444">
        <f>AP89</f>
        <v>3535.9127501942517</v>
      </c>
      <c r="AQ83" s="444">
        <f>AQ89</f>
        <v>1317.114381511735</v>
      </c>
      <c r="AR83" s="444">
        <f>AR89</f>
        <v>-3645.3671457106439</v>
      </c>
      <c r="AS83" s="494">
        <f t="shared" ref="AS83" si="240">AS89</f>
        <v>0</v>
      </c>
      <c r="AT83" s="618">
        <f>AT89</f>
        <v>10922.352684380305</v>
      </c>
      <c r="AV83" s="444">
        <f>AV89</f>
        <v>223.70387431283862</v>
      </c>
      <c r="AW83" s="444">
        <f t="shared" ref="AW83" si="241">AW89</f>
        <v>-352.60724615235955</v>
      </c>
      <c r="AX83" s="125">
        <f t="shared" ref="AX83:BA83" si="242">AX89</f>
        <v>577.33998885451706</v>
      </c>
      <c r="AY83" s="444">
        <f t="shared" si="242"/>
        <v>147.4460033118763</v>
      </c>
      <c r="AZ83" s="444">
        <f>AZ89</f>
        <v>273.97767991284815</v>
      </c>
      <c r="BA83" s="444">
        <f t="shared" si="242"/>
        <v>105.6173498900674</v>
      </c>
      <c r="BB83" s="444">
        <f>BB89</f>
        <v>-316.73622665835387</v>
      </c>
      <c r="BC83" s="444">
        <f t="shared" ref="BC83" si="243">BC89</f>
        <v>1045.4726836390398</v>
      </c>
      <c r="BD83" s="444">
        <f>BD89</f>
        <v>1960.6556879688349</v>
      </c>
      <c r="BE83" s="444">
        <f>BE89</f>
        <v>-1493.2829271585767</v>
      </c>
      <c r="BF83" s="902">
        <f>BF89</f>
        <v>13093.939552301044</v>
      </c>
      <c r="BG83" s="651">
        <f>BG89</f>
        <v>2171.5868679207324</v>
      </c>
    </row>
    <row r="84" spans="1:66" s="286" customFormat="1" ht="42.75" customHeight="1">
      <c r="A84" s="242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756"/>
      <c r="U84" s="911"/>
      <c r="V84" s="911"/>
      <c r="W84" s="911"/>
      <c r="X84" s="911"/>
      <c r="Y84" s="911"/>
      <c r="Z84" s="911"/>
      <c r="AA84" s="253"/>
      <c r="AB84" s="253"/>
      <c r="AC84" s="253"/>
      <c r="AD84" s="253"/>
      <c r="AE84" s="253"/>
      <c r="AF84" s="253"/>
      <c r="AG84" s="800"/>
      <c r="AH84" s="288"/>
      <c r="AI84" s="288"/>
      <c r="AJ84" s="288"/>
      <c r="AK84" s="253"/>
      <c r="AL84" s="253"/>
      <c r="AM84" s="253"/>
      <c r="AN84" s="253"/>
      <c r="AO84" s="253"/>
      <c r="AP84" s="253"/>
      <c r="AQ84" s="253"/>
      <c r="AR84" s="253"/>
      <c r="AS84" s="498"/>
      <c r="AT84" s="288"/>
      <c r="AU84" s="298"/>
      <c r="AV84" s="253"/>
      <c r="AW84" s="253"/>
      <c r="AX84" s="800"/>
      <c r="AY84" s="288"/>
      <c r="AZ84" s="253"/>
      <c r="BA84" s="253"/>
      <c r="BB84" s="253"/>
      <c r="BC84" s="253"/>
      <c r="BD84" s="253"/>
      <c r="BE84" s="253"/>
      <c r="BF84" s="288"/>
      <c r="BG84" s="253"/>
      <c r="BH84" s="344"/>
      <c r="BI84" s="344"/>
      <c r="BJ84" s="344"/>
      <c r="BK84" s="344"/>
      <c r="BL84" s="344"/>
      <c r="BM84" s="344"/>
      <c r="BN84" s="344"/>
    </row>
    <row r="85" spans="1:66" s="286" customFormat="1" ht="21.75" customHeight="1">
      <c r="A85" s="242"/>
      <c r="E85" s="71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756"/>
      <c r="U85" s="759"/>
      <c r="V85" s="253"/>
      <c r="W85" s="253"/>
      <c r="X85" s="759"/>
      <c r="Y85" s="288"/>
      <c r="Z85" s="288"/>
      <c r="AA85" s="253"/>
      <c r="AB85" s="445"/>
      <c r="AC85" s="253"/>
      <c r="AD85" s="445"/>
      <c r="AE85" s="445"/>
      <c r="AF85" s="445"/>
      <c r="AG85" s="800"/>
      <c r="AH85" s="288"/>
      <c r="AI85" s="288"/>
      <c r="AJ85" s="288"/>
      <c r="AK85" s="253"/>
      <c r="AL85" s="253"/>
      <c r="AM85" s="253"/>
      <c r="AN85" s="445"/>
      <c r="AO85" s="253"/>
      <c r="AP85" s="908"/>
      <c r="AQ85" s="253"/>
      <c r="AR85" s="253"/>
      <c r="AS85" s="498"/>
      <c r="AT85" s="298"/>
      <c r="AU85" s="298"/>
      <c r="AV85" s="253"/>
      <c r="AW85" s="445"/>
      <c r="AX85" s="800"/>
      <c r="AY85" s="288"/>
      <c r="AZ85" s="253"/>
      <c r="BA85" s="253"/>
      <c r="BB85" s="445"/>
      <c r="BC85" s="253"/>
      <c r="BD85" s="253"/>
      <c r="BE85" s="253"/>
      <c r="BF85" s="288"/>
      <c r="BG85" s="253"/>
      <c r="BH85" s="344"/>
      <c r="BI85" s="344"/>
      <c r="BJ85" s="344"/>
      <c r="BK85" s="344"/>
      <c r="BL85" s="344"/>
      <c r="BM85" s="344"/>
      <c r="BN85" s="344"/>
    </row>
    <row r="86" spans="1:66" s="286" customFormat="1" ht="16.5" customHeight="1">
      <c r="A86" s="285"/>
      <c r="D86" s="287" t="s">
        <v>391</v>
      </c>
      <c r="E86" s="714">
        <f>'RR SUMMARY'!O15</f>
        <v>7.3099999999999998E-2</v>
      </c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756"/>
      <c r="U86" s="759"/>
      <c r="V86" s="253"/>
      <c r="W86" s="253"/>
      <c r="X86" s="759"/>
      <c r="Y86" s="288"/>
      <c r="Z86" s="288"/>
      <c r="AA86" s="253"/>
      <c r="AB86" s="445"/>
      <c r="AC86" s="253"/>
      <c r="AD86" s="445"/>
      <c r="AE86" s="445"/>
      <c r="AF86" s="445"/>
      <c r="AG86" s="800"/>
      <c r="AH86" s="288"/>
      <c r="AI86" s="288"/>
      <c r="AJ86" s="288"/>
      <c r="AK86" s="253"/>
      <c r="AL86" s="253"/>
      <c r="AM86" s="253"/>
      <c r="AN86" s="445"/>
      <c r="AO86" s="253"/>
      <c r="AP86" s="253"/>
      <c r="AQ86" s="253"/>
      <c r="AR86" s="253"/>
      <c r="AS86" s="498"/>
      <c r="AT86" s="298"/>
      <c r="AU86" s="298"/>
      <c r="AV86" s="253"/>
      <c r="AW86" s="445"/>
      <c r="AX86" s="800"/>
      <c r="AY86" s="288"/>
      <c r="AZ86" s="253"/>
      <c r="BA86" s="253"/>
      <c r="BB86" s="445"/>
      <c r="BC86" s="253"/>
      <c r="BD86" s="253"/>
      <c r="BE86" s="253"/>
      <c r="BF86" s="288"/>
      <c r="BG86" s="253"/>
      <c r="BH86" s="344"/>
      <c r="BI86" s="344"/>
      <c r="BJ86" s="344"/>
      <c r="BK86" s="344"/>
      <c r="BL86" s="344"/>
      <c r="BM86" s="344"/>
      <c r="BN86" s="344"/>
    </row>
    <row r="87" spans="1:66" s="286" customFormat="1" ht="17.25" customHeight="1">
      <c r="A87" s="242"/>
      <c r="D87" s="287" t="s">
        <v>452</v>
      </c>
      <c r="E87" s="715">
        <f>CF!E27</f>
        <v>0.755463</v>
      </c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756"/>
      <c r="U87" s="759"/>
      <c r="V87" s="253"/>
      <c r="W87" s="253"/>
      <c r="X87" s="759"/>
      <c r="Y87" s="288"/>
      <c r="Z87" s="288"/>
      <c r="AA87" s="253"/>
      <c r="AB87" s="253"/>
      <c r="AC87" s="253"/>
      <c r="AD87" s="253"/>
      <c r="AE87" s="253"/>
      <c r="AF87" s="253"/>
      <c r="AG87" s="800"/>
      <c r="AH87" s="288"/>
      <c r="AI87" s="288"/>
      <c r="AJ87" s="288"/>
      <c r="AK87" s="253"/>
      <c r="AL87" s="253"/>
      <c r="AM87" s="253"/>
      <c r="AN87" s="253"/>
      <c r="AO87" s="253"/>
      <c r="AP87" s="253"/>
      <c r="AQ87" s="253"/>
      <c r="AR87" s="253"/>
      <c r="AS87" s="498"/>
      <c r="AT87" s="288"/>
      <c r="AU87" s="298"/>
      <c r="AV87" s="253"/>
      <c r="AW87" s="253"/>
      <c r="AX87" s="800"/>
      <c r="AY87" s="288"/>
      <c r="AZ87" s="253"/>
      <c r="BA87" s="253"/>
      <c r="BB87" s="253"/>
      <c r="BC87" s="253"/>
      <c r="BD87" s="253"/>
      <c r="BE87" s="253"/>
      <c r="BF87" s="288"/>
      <c r="BG87" s="253"/>
      <c r="BH87" s="344"/>
      <c r="BI87" s="344"/>
      <c r="BJ87" s="344"/>
      <c r="BK87" s="344"/>
      <c r="BL87" s="344"/>
      <c r="BM87" s="344"/>
      <c r="BN87" s="344"/>
    </row>
    <row r="88" spans="1:66" s="286" customFormat="1" ht="29.25" customHeight="1">
      <c r="A88" s="242"/>
      <c r="D88" s="287" t="s">
        <v>156</v>
      </c>
      <c r="E88" s="178">
        <f t="shared" ref="E88:AS88" si="244">E81*$E$86-E58</f>
        <v>3274.7875999999997</v>
      </c>
      <c r="F88" s="178">
        <f t="shared" si="244"/>
        <v>15.478221999999999</v>
      </c>
      <c r="G88" s="178">
        <f t="shared" si="244"/>
        <v>6.8185999999999997E-2</v>
      </c>
      <c r="H88" s="178">
        <f t="shared" si="244"/>
        <v>-10.90976</v>
      </c>
      <c r="I88" s="178">
        <f t="shared" si="244"/>
        <v>-0.79</v>
      </c>
      <c r="J88" s="178">
        <f t="shared" si="244"/>
        <v>0.79</v>
      </c>
      <c r="K88" s="178">
        <f t="shared" si="244"/>
        <v>1515.22</v>
      </c>
      <c r="L88" s="178">
        <f t="shared" si="244"/>
        <v>7.11</v>
      </c>
      <c r="M88" s="178">
        <f t="shared" si="244"/>
        <v>-35.549999999999997</v>
      </c>
      <c r="N88" s="178">
        <f t="shared" si="244"/>
        <v>363</v>
      </c>
      <c r="O88" s="178">
        <f t="shared" si="244"/>
        <v>-13.43</v>
      </c>
      <c r="P88" s="178">
        <f t="shared" si="244"/>
        <v>1.58</v>
      </c>
      <c r="Q88" s="178">
        <f t="shared" si="244"/>
        <v>-8.69</v>
      </c>
      <c r="R88" s="178">
        <f t="shared" si="244"/>
        <v>0</v>
      </c>
      <c r="S88" s="178">
        <f t="shared" si="244"/>
        <v>0</v>
      </c>
      <c r="T88" s="767">
        <f t="shared" si="244"/>
        <v>-379.99</v>
      </c>
      <c r="U88" s="767">
        <f t="shared" si="244"/>
        <v>683.35</v>
      </c>
      <c r="V88" s="178">
        <f t="shared" si="244"/>
        <v>251</v>
      </c>
      <c r="W88" s="178">
        <f>W81*$E$86-W58</f>
        <v>1806.58807</v>
      </c>
      <c r="X88" s="767">
        <f t="shared" ref="X88" si="245">X81*$E$86-X58</f>
        <v>-832.27831600000002</v>
      </c>
      <c r="Y88" s="178">
        <f t="shared" si="244"/>
        <v>6637.3340019999996</v>
      </c>
      <c r="Z88" s="178"/>
      <c r="AA88" s="178">
        <f t="shared" si="244"/>
        <v>-6871.42</v>
      </c>
      <c r="AB88" s="178">
        <f t="shared" ref="AB88:AC88" si="246">AB81*$E$86-AB58</f>
        <v>-392.63</v>
      </c>
      <c r="AC88" s="178">
        <f t="shared" si="246"/>
        <v>27</v>
      </c>
      <c r="AD88" s="178">
        <f t="shared" ref="AD88" si="247">AD81*$E$86-AD58</f>
        <v>3286.9887620000004</v>
      </c>
      <c r="AE88" s="178">
        <f t="shared" ref="AE88" si="248">AE81*$E$86-AE58</f>
        <v>-131.13999999999999</v>
      </c>
      <c r="AF88" s="178">
        <f>AF81*$E$86-AF58</f>
        <v>-594.617572</v>
      </c>
      <c r="AG88" s="176">
        <f t="shared" si="244"/>
        <v>1431.7170000000001</v>
      </c>
      <c r="AH88" s="178">
        <f t="shared" si="244"/>
        <v>15.8</v>
      </c>
      <c r="AI88" s="178">
        <f t="shared" si="244"/>
        <v>-94.8</v>
      </c>
      <c r="AJ88" s="178">
        <f t="shared" ref="AJ88" si="249">AJ81*$E$86-AJ58</f>
        <v>-18.482050000000001</v>
      </c>
      <c r="AK88" s="178">
        <f>AK81*$E$86-AK58</f>
        <v>457.41</v>
      </c>
      <c r="AL88" s="178">
        <f t="shared" ref="AL88" si="250">AL81*$E$86-AL58</f>
        <v>397.37</v>
      </c>
      <c r="AM88" s="178">
        <f t="shared" si="244"/>
        <v>293.09000000000003</v>
      </c>
      <c r="AN88" s="178">
        <f t="shared" ref="AN88" si="251">AN81*$E$86-AN58</f>
        <v>1777.08762</v>
      </c>
      <c r="AO88" s="178">
        <f t="shared" ref="AO88" si="252">AO81*$E$86-AO58</f>
        <v>1118.3831279999999</v>
      </c>
      <c r="AP88" s="178">
        <f t="shared" si="244"/>
        <v>2671.2512539999998</v>
      </c>
      <c r="AQ88" s="178">
        <f t="shared" ref="AQ88:AR88" si="253">AQ81*$E$86-AQ58</f>
        <v>995.03118199999994</v>
      </c>
      <c r="AR88" s="178">
        <f t="shared" si="253"/>
        <v>-2753.94</v>
      </c>
      <c r="AS88" s="504">
        <f t="shared" si="244"/>
        <v>0</v>
      </c>
      <c r="AT88" s="289">
        <f>AT81*$E$86-AT58</f>
        <v>8251.4333259999985</v>
      </c>
      <c r="AU88" s="620"/>
      <c r="AV88" s="178">
        <f>AV81*$E$86-AV58</f>
        <v>169</v>
      </c>
      <c r="AW88" s="178">
        <f t="shared" ref="AW88:BA88" si="254">AW81*$E$86-AW58</f>
        <v>-266.38172800000001</v>
      </c>
      <c r="AX88" s="176">
        <f t="shared" si="254"/>
        <v>436.15899999999999</v>
      </c>
      <c r="AY88" s="178">
        <f t="shared" si="254"/>
        <v>111.39</v>
      </c>
      <c r="AZ88" s="178">
        <f t="shared" si="254"/>
        <v>206.98000000000002</v>
      </c>
      <c r="BA88" s="178">
        <f t="shared" si="254"/>
        <v>79.789999999999992</v>
      </c>
      <c r="BB88" s="178">
        <f>BB81*$E$86-BB58</f>
        <v>-239.2825</v>
      </c>
      <c r="BC88" s="178">
        <f t="shared" ref="BC88" si="255">BC81*$E$86-BC58</f>
        <v>789.81592999999998</v>
      </c>
      <c r="BD88" s="178">
        <f t="shared" ref="BD88" si="256">BD81*$E$86-BD58</f>
        <v>1481.202828</v>
      </c>
      <c r="BE88" s="178">
        <f t="shared" ref="BE88" si="257">BE81*$E$86-BE58</f>
        <v>-1128.1199999999999</v>
      </c>
      <c r="BF88" s="289">
        <f>BF81*$E$86-BF58</f>
        <v>9891.9868560000032</v>
      </c>
      <c r="BG88" s="178">
        <f>BG81*$E$86-BG58</f>
        <v>1640.5535300000001</v>
      </c>
      <c r="BH88" s="344"/>
      <c r="BI88" s="344"/>
      <c r="BJ88" s="344"/>
      <c r="BK88" s="344"/>
      <c r="BL88" s="344"/>
      <c r="BM88" s="344"/>
      <c r="BN88" s="344"/>
    </row>
    <row r="89" spans="1:66" s="286" customFormat="1">
      <c r="A89" s="242"/>
      <c r="D89" s="287" t="s">
        <v>453</v>
      </c>
      <c r="E89" s="178">
        <f>E88/$E$87</f>
        <v>4334.8087199505462</v>
      </c>
      <c r="F89" s="178">
        <f>F88/$E$87</f>
        <v>20.488391886829664</v>
      </c>
      <c r="G89" s="178">
        <f>G88/$E$87</f>
        <v>9.025723298162848E-2</v>
      </c>
      <c r="H89" s="178">
        <f>H88/$E$87</f>
        <v>-14.441157277060558</v>
      </c>
      <c r="I89" s="178">
        <f t="shared" ref="I89:P89" si="258">I88/$E$87</f>
        <v>-1.0457163355452219</v>
      </c>
      <c r="J89" s="178">
        <f>J88/$E$87</f>
        <v>1.0457163355452219</v>
      </c>
      <c r="K89" s="178">
        <f t="shared" si="258"/>
        <v>2005.6839315757356</v>
      </c>
      <c r="L89" s="178">
        <f t="shared" si="258"/>
        <v>9.4114470199069977</v>
      </c>
      <c r="M89" s="178">
        <f t="shared" si="258"/>
        <v>-47.057235099534985</v>
      </c>
      <c r="N89" s="178">
        <f t="shared" si="258"/>
        <v>480.50003772520955</v>
      </c>
      <c r="O89" s="178">
        <f t="shared" si="258"/>
        <v>-17.777177704268773</v>
      </c>
      <c r="P89" s="178">
        <f t="shared" si="258"/>
        <v>2.0914326710904438</v>
      </c>
      <c r="Q89" s="178">
        <f t="shared" ref="Q89:R89" si="259">Q88/$E$87</f>
        <v>-11.502879690997441</v>
      </c>
      <c r="R89" s="178">
        <f t="shared" si="259"/>
        <v>0</v>
      </c>
      <c r="S89" s="178">
        <f t="shared" ref="S89" si="260">S88/$E$87</f>
        <v>0</v>
      </c>
      <c r="T89" s="767">
        <f>T88/$E$87</f>
        <v>-502.98955739725176</v>
      </c>
      <c r="U89" s="767">
        <f>U88/$E$87</f>
        <v>904.54463024661698</v>
      </c>
      <c r="V89" s="178">
        <f>V88/$E$87</f>
        <v>332.24658255930467</v>
      </c>
      <c r="W89" s="178">
        <f>W88/$E$87</f>
        <v>2391.3653878482469</v>
      </c>
      <c r="X89" s="767">
        <f>X88/$E$87</f>
        <v>-1101.6797857737572</v>
      </c>
      <c r="Y89" s="178">
        <f t="shared" ref="Y89" si="261">Y88/$E$87</f>
        <v>8785.7830257735986</v>
      </c>
      <c r="Z89" s="178"/>
      <c r="AA89" s="178">
        <f>AA88/$E$87</f>
        <v>-9095.6406865723402</v>
      </c>
      <c r="AB89" s="178">
        <f>AB88/$E$87</f>
        <v>-519.72101876597526</v>
      </c>
      <c r="AC89" s="178">
        <f>AC88/$E$87</f>
        <v>35.739672227494928</v>
      </c>
      <c r="AD89" s="178">
        <f t="shared" ref="AD89" si="262">AD88/$E$87</f>
        <v>4350.9592951607165</v>
      </c>
      <c r="AE89" s="178">
        <f>AE88/$E$87</f>
        <v>-173.58891170050683</v>
      </c>
      <c r="AF89" s="178">
        <f>AF88/$E$87</f>
        <v>-787.09026385143943</v>
      </c>
      <c r="AG89" s="176">
        <f t="shared" ref="AG89" si="263">AG88/$E$87</f>
        <v>1895.1517149086058</v>
      </c>
      <c r="AH89" s="178">
        <f t="shared" ref="AH89:AL89" si="264">AH88/$E$87</f>
        <v>20.91432671090444</v>
      </c>
      <c r="AI89" s="178">
        <f t="shared" si="264"/>
        <v>-125.48596026542663</v>
      </c>
      <c r="AJ89" s="178">
        <f t="shared" ref="AJ89" si="265">AJ88/$E$87</f>
        <v>-24.464533670080467</v>
      </c>
      <c r="AK89" s="178">
        <f t="shared" ref="AK89" si="266">AK88/$E$87</f>
        <v>605.46975828068355</v>
      </c>
      <c r="AL89" s="178">
        <f t="shared" si="264"/>
        <v>525.99531677924665</v>
      </c>
      <c r="AM89" s="178">
        <f>AM88/$E$87</f>
        <v>387.96076048727735</v>
      </c>
      <c r="AN89" s="178">
        <f t="shared" ref="AN89" si="267">AN88/$E$87</f>
        <v>2352.3158910495949</v>
      </c>
      <c r="AO89" s="178">
        <f>AO88/$E$87</f>
        <v>1480.3943118326113</v>
      </c>
      <c r="AP89" s="178">
        <f>AP88/$E$87</f>
        <v>3535.9127501942517</v>
      </c>
      <c r="AQ89" s="178">
        <f>AQ88/$E$87</f>
        <v>1317.114381511735</v>
      </c>
      <c r="AR89" s="178">
        <f>AR88/$E$87</f>
        <v>-3645.3671457106439</v>
      </c>
      <c r="AS89" s="504">
        <f t="shared" ref="AS89" si="268">AS88/$E$87</f>
        <v>0</v>
      </c>
      <c r="AT89" s="289">
        <f>AT88/$E$87</f>
        <v>10922.352684380305</v>
      </c>
      <c r="AU89" s="620"/>
      <c r="AV89" s="178">
        <f>AV88/$E$87</f>
        <v>223.70387431283862</v>
      </c>
      <c r="AW89" s="178">
        <f t="shared" ref="AW89" si="269">AW88/$E$87</f>
        <v>-352.60724615235955</v>
      </c>
      <c r="AX89" s="176">
        <f t="shared" ref="AX89:BA89" si="270">AX88/$E$87</f>
        <v>577.33998885451706</v>
      </c>
      <c r="AY89" s="178">
        <f t="shared" si="270"/>
        <v>147.4460033118763</v>
      </c>
      <c r="AZ89" s="178">
        <f>AZ88/$E$87</f>
        <v>273.97767991284815</v>
      </c>
      <c r="BA89" s="178">
        <f t="shared" si="270"/>
        <v>105.6173498900674</v>
      </c>
      <c r="BB89" s="178">
        <f>BB88/$E$87</f>
        <v>-316.73622665835387</v>
      </c>
      <c r="BC89" s="178">
        <f t="shared" ref="BC89" si="271">BC88/$E$87</f>
        <v>1045.4726836390398</v>
      </c>
      <c r="BD89" s="178">
        <f>BD88/$E$87</f>
        <v>1960.6556879688349</v>
      </c>
      <c r="BE89" s="178">
        <f>BE88/$E$87</f>
        <v>-1493.2829271585767</v>
      </c>
      <c r="BF89" s="289">
        <f>BF88/$E$87</f>
        <v>13093.939552301044</v>
      </c>
      <c r="BG89" s="178">
        <f>BG88/$E$87</f>
        <v>2171.5868679207324</v>
      </c>
      <c r="BH89" s="344"/>
      <c r="BI89" s="344"/>
      <c r="BJ89" s="344"/>
      <c r="BK89" s="344"/>
      <c r="BL89" s="344"/>
      <c r="BM89" s="344"/>
      <c r="BN89" s="344"/>
    </row>
    <row r="90" spans="1:66" s="286" customFormat="1">
      <c r="A90" s="242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768"/>
      <c r="U90" s="768"/>
      <c r="V90" s="319"/>
      <c r="W90" s="319"/>
      <c r="X90" s="768"/>
      <c r="Y90" s="290"/>
      <c r="Z90" s="290"/>
      <c r="AA90" s="319"/>
      <c r="AB90" s="319"/>
      <c r="AC90" s="319"/>
      <c r="AD90" s="319"/>
      <c r="AE90" s="319"/>
      <c r="AF90" s="319"/>
      <c r="AG90" s="126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505"/>
      <c r="AT90" s="291"/>
      <c r="AU90" s="299"/>
      <c r="AV90" s="319"/>
      <c r="AW90" s="319"/>
      <c r="AX90" s="126"/>
      <c r="AY90" s="319"/>
      <c r="AZ90" s="319"/>
      <c r="BA90" s="319"/>
      <c r="BB90" s="319"/>
      <c r="BC90" s="319"/>
      <c r="BD90" s="319"/>
      <c r="BE90" s="319"/>
      <c r="BF90" s="291"/>
      <c r="BG90" s="319"/>
      <c r="BH90" s="344"/>
      <c r="BI90" s="344"/>
      <c r="BJ90" s="344"/>
      <c r="BK90" s="344"/>
      <c r="BL90" s="344"/>
      <c r="BM90" s="344"/>
      <c r="BN90" s="344"/>
    </row>
    <row r="91" spans="1:66" s="286" customFormat="1">
      <c r="A91" s="242"/>
      <c r="D91" s="287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768"/>
      <c r="U91" s="768"/>
      <c r="V91" s="319"/>
      <c r="W91" s="319"/>
      <c r="X91" s="768"/>
      <c r="Y91" s="290"/>
      <c r="Z91" s="290"/>
      <c r="AA91" s="319"/>
      <c r="AB91" s="319"/>
      <c r="AC91" s="319"/>
      <c r="AD91" s="319"/>
      <c r="AE91" s="319"/>
      <c r="AF91" s="319"/>
      <c r="AG91" s="126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505"/>
      <c r="AT91" s="291"/>
      <c r="AU91" s="299"/>
      <c r="AV91" s="319"/>
      <c r="AW91" s="319"/>
      <c r="AX91" s="126"/>
      <c r="AY91" s="319"/>
      <c r="AZ91" s="319"/>
      <c r="BA91" s="319"/>
      <c r="BB91" s="319"/>
      <c r="BC91" s="319"/>
      <c r="BD91" s="319"/>
      <c r="BE91" s="319"/>
      <c r="BF91" s="291"/>
      <c r="BG91" s="319"/>
      <c r="BH91" s="344"/>
      <c r="BI91" s="344"/>
      <c r="BJ91" s="344"/>
      <c r="BK91" s="344"/>
      <c r="BL91" s="344"/>
      <c r="BM91" s="344"/>
      <c r="BN91" s="344"/>
    </row>
    <row r="92" spans="1:66" s="344" customFormat="1">
      <c r="A92" s="342"/>
      <c r="D92" s="341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769"/>
      <c r="U92" s="769"/>
      <c r="V92" s="340"/>
      <c r="W92" s="340"/>
      <c r="X92" s="769"/>
      <c r="Y92" s="300"/>
      <c r="Z92" s="300"/>
      <c r="AA92" s="340"/>
      <c r="AB92" s="340"/>
      <c r="AC92" s="340"/>
      <c r="AD92" s="340"/>
      <c r="AE92" s="340"/>
      <c r="AF92" s="340"/>
      <c r="AG92" s="808"/>
      <c r="AH92" s="340"/>
      <c r="AI92" s="340"/>
      <c r="AJ92" s="340"/>
      <c r="AK92" s="340"/>
      <c r="AL92" s="340"/>
      <c r="AM92" s="340"/>
      <c r="AN92" s="340"/>
      <c r="AO92" s="340"/>
      <c r="AP92" s="826"/>
      <c r="AQ92" s="826"/>
      <c r="AR92" s="826"/>
      <c r="AS92" s="506"/>
      <c r="AT92" s="299"/>
      <c r="AU92" s="299"/>
      <c r="AV92" s="340"/>
      <c r="AW92" s="340"/>
      <c r="AX92" s="808"/>
      <c r="AY92" s="340"/>
      <c r="AZ92" s="340"/>
      <c r="BA92" s="340"/>
      <c r="BB92" s="340"/>
      <c r="BC92" s="340"/>
      <c r="BD92" s="826"/>
      <c r="BE92" s="826"/>
      <c r="BF92" s="299"/>
      <c r="BG92" s="340"/>
    </row>
    <row r="93" spans="1:66" s="344" customFormat="1">
      <c r="A93" s="342"/>
      <c r="D93" s="345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769"/>
      <c r="U93" s="769"/>
      <c r="V93" s="340"/>
      <c r="W93" s="340"/>
      <c r="X93" s="769"/>
      <c r="Y93" s="300"/>
      <c r="Z93" s="300"/>
      <c r="AA93" s="340"/>
      <c r="AB93" s="340"/>
      <c r="AC93" s="340"/>
      <c r="AD93" s="340"/>
      <c r="AE93" s="340"/>
      <c r="AF93" s="340"/>
      <c r="AG93" s="808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 t="s">
        <v>646</v>
      </c>
      <c r="AS93" s="506"/>
      <c r="AT93" s="299"/>
      <c r="AU93" s="299"/>
      <c r="AV93" s="340"/>
      <c r="AW93" s="340">
        <f>AO81+AP81+AQ81+W81</f>
        <v>75869</v>
      </c>
      <c r="AX93" s="808"/>
      <c r="AY93" s="340"/>
      <c r="AZ93" s="340"/>
      <c r="BA93" s="340"/>
      <c r="BB93" s="933" t="s">
        <v>646</v>
      </c>
      <c r="BC93" s="934">
        <f>BD81</f>
        <v>22198</v>
      </c>
      <c r="BD93" s="340"/>
      <c r="BE93" s="340"/>
      <c r="BF93" s="299"/>
      <c r="BG93" s="340"/>
    </row>
    <row r="94" spans="1:66" s="344" customFormat="1">
      <c r="A94" s="342"/>
      <c r="E94" s="281"/>
      <c r="F94" s="281"/>
      <c r="G94" s="704"/>
      <c r="H94" s="705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770"/>
      <c r="U94" s="771"/>
      <c r="V94" s="281"/>
      <c r="W94" s="281"/>
      <c r="X94" s="771"/>
      <c r="Y94" s="300"/>
      <c r="Z94" s="300"/>
      <c r="AA94" s="281"/>
      <c r="AB94" s="281"/>
      <c r="AC94" s="281"/>
      <c r="AD94" s="281"/>
      <c r="AE94" s="281"/>
      <c r="AF94" s="281"/>
      <c r="AG94" s="809"/>
      <c r="AH94" s="300"/>
      <c r="AI94" s="300"/>
      <c r="AJ94" s="300"/>
      <c r="AK94" s="281"/>
      <c r="AL94" s="281"/>
      <c r="AM94" s="281"/>
      <c r="AN94" s="281"/>
      <c r="AO94" s="281"/>
      <c r="AP94" s="281"/>
      <c r="AQ94" s="281"/>
      <c r="AR94" s="281" t="s">
        <v>645</v>
      </c>
      <c r="AS94" s="507"/>
      <c r="AT94" s="343"/>
      <c r="AU94" s="343"/>
      <c r="AV94" s="281"/>
      <c r="AW94" s="281">
        <f>AO83+AP83+AQ83+W83</f>
        <v>8724.7868313868439</v>
      </c>
      <c r="AX94" s="809"/>
      <c r="AY94" s="300"/>
      <c r="AZ94" s="281"/>
      <c r="BA94" s="281"/>
      <c r="BB94" s="933" t="s">
        <v>628</v>
      </c>
      <c r="BC94" s="933">
        <f>BD83</f>
        <v>1960.6556879688349</v>
      </c>
      <c r="BD94" s="281"/>
      <c r="BE94" s="281"/>
      <c r="BF94" s="300"/>
      <c r="BG94" s="281"/>
    </row>
    <row r="95" spans="1:66" s="344" customFormat="1">
      <c r="A95" s="342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770"/>
      <c r="U95" s="771"/>
      <c r="V95" s="281"/>
      <c r="W95" s="281"/>
      <c r="X95" s="771"/>
      <c r="Y95" s="300"/>
      <c r="Z95" s="300"/>
      <c r="AA95" s="281"/>
      <c r="AB95" s="281"/>
      <c r="AC95" s="281"/>
      <c r="AD95" s="281"/>
      <c r="AE95" s="281"/>
      <c r="AF95" s="281"/>
      <c r="AG95" s="809"/>
      <c r="AH95" s="300"/>
      <c r="AI95" s="300"/>
      <c r="AJ95" s="300"/>
      <c r="AK95" s="281"/>
      <c r="AL95" s="281"/>
      <c r="AM95" s="281"/>
      <c r="AN95" s="281"/>
      <c r="AO95" s="281"/>
      <c r="AP95" s="281"/>
      <c r="AR95" s="935" t="s">
        <v>647</v>
      </c>
      <c r="AS95" s="507"/>
      <c r="AU95" s="278"/>
      <c r="AV95" s="281"/>
      <c r="AW95" s="281">
        <f>AG89+AH89+AI89+AJ89+AL89+AM89+AK89</f>
        <v>3285.5413832312101</v>
      </c>
      <c r="AX95" s="809"/>
      <c r="AY95" s="300"/>
      <c r="AZ95" s="281"/>
      <c r="BA95" s="281"/>
      <c r="BD95" s="281"/>
      <c r="BE95" s="281"/>
      <c r="BF95" s="300"/>
      <c r="BG95" s="281"/>
    </row>
    <row r="96" spans="1:66" s="282" customFormat="1">
      <c r="A96" s="4"/>
      <c r="E96" s="716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770"/>
      <c r="U96" s="771"/>
      <c r="V96" s="281"/>
      <c r="W96" s="281"/>
      <c r="X96" s="771"/>
      <c r="Y96" s="300"/>
      <c r="Z96" s="300"/>
      <c r="AA96" s="281"/>
      <c r="AB96" s="281"/>
      <c r="AC96" s="281"/>
      <c r="AD96" s="281"/>
      <c r="AE96" s="281"/>
      <c r="AF96" s="281"/>
      <c r="AG96" s="809"/>
      <c r="AH96" s="300"/>
      <c r="AI96" s="300"/>
      <c r="AJ96" s="300"/>
      <c r="AK96" s="281"/>
      <c r="AL96" s="281"/>
      <c r="AM96" s="281"/>
      <c r="AN96" s="281"/>
      <c r="AO96" s="281"/>
      <c r="AP96" s="281"/>
      <c r="AQ96" s="281"/>
      <c r="AR96" s="281"/>
      <c r="AS96" s="507"/>
      <c r="AT96" s="278"/>
      <c r="AU96" s="278"/>
      <c r="AV96" s="281"/>
      <c r="AW96" s="281"/>
      <c r="AX96" s="809"/>
      <c r="AY96" s="300"/>
      <c r="AZ96" s="281"/>
      <c r="BA96" s="281"/>
      <c r="BB96" s="281"/>
      <c r="BC96" s="281"/>
      <c r="BD96" s="281"/>
      <c r="BE96" s="281"/>
      <c r="BF96" s="300"/>
      <c r="BG96" s="281"/>
      <c r="BH96" s="344"/>
      <c r="BI96" s="344"/>
      <c r="BJ96" s="344"/>
      <c r="BK96" s="344"/>
      <c r="BL96" s="344"/>
      <c r="BM96" s="344"/>
      <c r="BN96" s="344"/>
    </row>
    <row r="97" spans="1:66" s="282" customFormat="1">
      <c r="A97" s="4"/>
      <c r="E97" s="716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770"/>
      <c r="U97" s="771"/>
      <c r="V97" s="281"/>
      <c r="W97" s="281"/>
      <c r="X97" s="771"/>
      <c r="Y97" s="300"/>
      <c r="Z97" s="300"/>
      <c r="AA97" s="281"/>
      <c r="AB97" s="281"/>
      <c r="AC97" s="281"/>
      <c r="AD97" s="281"/>
      <c r="AE97" s="281"/>
      <c r="AF97" s="281"/>
      <c r="AG97" s="809"/>
      <c r="AH97" s="300"/>
      <c r="AI97" s="300"/>
      <c r="AJ97" s="300"/>
      <c r="AK97" s="281"/>
      <c r="AL97" s="281"/>
      <c r="AM97" s="281"/>
      <c r="AN97" s="281"/>
      <c r="AO97" s="281"/>
      <c r="AP97" s="281"/>
      <c r="AQ97" s="281"/>
      <c r="AR97" s="281"/>
      <c r="AS97" s="507"/>
      <c r="AT97" s="280"/>
      <c r="AU97" s="280"/>
      <c r="AV97" s="281"/>
      <c r="AW97" s="281"/>
      <c r="AX97" s="809"/>
      <c r="AY97" s="300"/>
      <c r="AZ97" s="281"/>
      <c r="BA97" s="281"/>
      <c r="BB97" s="281"/>
      <c r="BC97" s="281"/>
      <c r="BD97" s="281"/>
      <c r="BE97" s="281"/>
      <c r="BF97" s="300"/>
      <c r="BG97" s="281"/>
      <c r="BH97" s="344"/>
      <c r="BI97" s="344"/>
      <c r="BJ97" s="344"/>
      <c r="BK97" s="344"/>
      <c r="BL97" s="344"/>
      <c r="BM97" s="344"/>
      <c r="BN97" s="344"/>
    </row>
    <row r="98" spans="1:66" s="282" customFormat="1">
      <c r="A98" s="4"/>
      <c r="E98" s="716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770"/>
      <c r="U98" s="771"/>
      <c r="V98" s="281"/>
      <c r="W98" s="281"/>
      <c r="X98" s="771"/>
      <c r="Y98" s="300"/>
      <c r="Z98" s="300"/>
      <c r="AA98" s="281"/>
      <c r="AB98" s="281"/>
      <c r="AC98" s="281"/>
      <c r="AD98" s="281"/>
      <c r="AE98" s="281"/>
      <c r="AF98" s="281"/>
      <c r="AG98" s="809"/>
      <c r="AH98" s="300"/>
      <c r="AI98" s="300"/>
      <c r="AJ98" s="300"/>
      <c r="AK98" s="281"/>
      <c r="AL98" s="281"/>
      <c r="AM98" s="281"/>
      <c r="AN98" s="281"/>
      <c r="AO98" s="281"/>
      <c r="AP98" s="281"/>
      <c r="AQ98" s="281"/>
      <c r="AR98" s="281"/>
      <c r="AS98" s="507"/>
      <c r="AT98" s="278"/>
      <c r="AU98" s="278"/>
      <c r="AV98" s="281"/>
      <c r="AW98" s="281"/>
      <c r="AX98" s="809"/>
      <c r="AY98" s="300"/>
      <c r="AZ98" s="281"/>
      <c r="BA98" s="281"/>
      <c r="BB98" s="281"/>
      <c r="BC98" s="281"/>
      <c r="BD98" s="281"/>
      <c r="BE98" s="281"/>
      <c r="BF98" s="300"/>
      <c r="BG98" s="281"/>
      <c r="BH98" s="344"/>
      <c r="BI98" s="344"/>
      <c r="BJ98" s="344"/>
      <c r="BK98" s="344"/>
      <c r="BL98" s="344"/>
      <c r="BM98" s="344"/>
      <c r="BN98" s="344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4">
    <mergeCell ref="BJ38:BJ39"/>
    <mergeCell ref="AP2:AP6"/>
    <mergeCell ref="AQ2:AQ6"/>
    <mergeCell ref="BD2:BD6"/>
  </mergeCells>
  <phoneticPr fontId="0" type="noConversion"/>
  <pageMargins left="0.75" right="0.5" top="0.97" bottom="0.84" header="0.5" footer="0.5"/>
  <pageSetup scale="65" firstPageNumber="4" fitToWidth="5" orientation="portrait" r:id="rId3"/>
  <headerFooter scaleWithDoc="0" alignWithMargins="0">
    <oddHeader>&amp;RExh. EMA-3</oddHeader>
    <oddFooter>&amp;RPage &amp;P of &amp;N</oddFooter>
  </headerFooter>
  <colBreaks count="7" manualBreakCount="7">
    <brk id="12" min="1" max="83" man="1"/>
    <brk id="21" min="1" max="83" man="1"/>
    <brk id="26" max="1048575" man="1"/>
    <brk id="32" min="1" max="83" man="1"/>
    <brk id="39" min="1" max="83" man="1"/>
    <brk id="46" min="1" max="83" man="1"/>
    <brk id="55" min="1" max="83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66"/>
  <sheetViews>
    <sheetView view="pageBreakPreview" topLeftCell="A34" zoomScale="60" zoomScaleNormal="100" workbookViewId="0">
      <selection activeCell="E39" sqref="E39"/>
    </sheetView>
  </sheetViews>
  <sheetFormatPr defaultColWidth="11.42578125" defaultRowHeight="12.75"/>
  <cols>
    <col min="1" max="1" width="10" style="11" customWidth="1"/>
    <col min="2" max="2" width="12.5703125" style="196" customWidth="1"/>
    <col min="3" max="3" width="41.85546875" style="11" customWidth="1"/>
    <col min="4" max="5" width="11.42578125" style="11" customWidth="1"/>
    <col min="6" max="6" width="11.42578125" style="330" customWidth="1"/>
    <col min="7" max="7" width="8.42578125" style="270" customWidth="1"/>
    <col min="8" max="8" width="8.42578125" style="360" hidden="1" customWidth="1"/>
    <col min="9" max="9" width="8.42578125" style="532" hidden="1" customWidth="1"/>
    <col min="10" max="10" width="8.42578125" style="528" hidden="1" customWidth="1"/>
    <col min="11" max="11" width="8.42578125" style="515" hidden="1" customWidth="1"/>
    <col min="12" max="12" width="8.42578125" style="11" customWidth="1"/>
    <col min="13" max="16384" width="11.42578125" style="11"/>
  </cols>
  <sheetData>
    <row r="1" spans="1:14">
      <c r="A1" s="1071" t="str">
        <f>'ADJ DETAIL INPUT'!A2</f>
        <v>AVISTA UTILITIES</v>
      </c>
      <c r="B1" s="1071"/>
      <c r="C1" s="1071"/>
      <c r="D1" s="1071"/>
      <c r="E1" s="1071"/>
      <c r="F1" s="1071"/>
      <c r="G1" s="1071"/>
      <c r="J1" s="524"/>
      <c r="K1" s="517"/>
    </row>
    <row r="2" spans="1:14">
      <c r="A2" s="1072" t="s">
        <v>69</v>
      </c>
      <c r="B2" s="1072"/>
      <c r="C2" s="1072"/>
      <c r="D2" s="1072"/>
      <c r="E2" s="1072"/>
      <c r="F2" s="1072"/>
      <c r="G2" s="1072"/>
      <c r="J2" s="524"/>
      <c r="K2" s="518"/>
    </row>
    <row r="3" spans="1:14" s="22" customFormat="1">
      <c r="A3" s="1070" t="s">
        <v>145</v>
      </c>
      <c r="B3" s="1070"/>
      <c r="C3" s="1070"/>
      <c r="D3" s="1070"/>
      <c r="E3" s="1070"/>
      <c r="F3" s="1070"/>
      <c r="G3" s="1070"/>
      <c r="H3" s="361"/>
      <c r="I3" s="690"/>
      <c r="J3" s="525"/>
      <c r="K3" s="519"/>
    </row>
    <row r="4" spans="1:14" s="22" customFormat="1">
      <c r="A4" s="1070" t="str">
        <f>CF!C4</f>
        <v>TWELVE MONTHS ENDED SEPTEMBER 30, 2021</v>
      </c>
      <c r="B4" s="1070"/>
      <c r="C4" s="1070"/>
      <c r="D4" s="1070"/>
      <c r="E4" s="1070"/>
      <c r="F4" s="1070"/>
      <c r="G4" s="1070"/>
      <c r="H4" s="361"/>
      <c r="I4" s="690"/>
      <c r="J4" s="525"/>
      <c r="K4" s="519"/>
    </row>
    <row r="5" spans="1:14" s="22" customFormat="1">
      <c r="A5" s="11"/>
      <c r="B5" s="196"/>
      <c r="C5" s="11"/>
      <c r="D5" s="1073" t="s">
        <v>69</v>
      </c>
      <c r="E5" s="1073"/>
      <c r="F5" s="1073"/>
      <c r="G5" s="942">
        <f>'RR SUMMARY'!O15</f>
        <v>7.3099999999999998E-2</v>
      </c>
      <c r="H5" s="361"/>
      <c r="I5" s="690"/>
      <c r="J5" s="525"/>
      <c r="K5" s="520"/>
    </row>
    <row r="6" spans="1:14" ht="25.5">
      <c r="A6" s="272" t="s">
        <v>70</v>
      </c>
      <c r="B6" s="272" t="s">
        <v>204</v>
      </c>
      <c r="C6" s="272" t="s">
        <v>71</v>
      </c>
      <c r="D6" s="272" t="s">
        <v>72</v>
      </c>
      <c r="E6" s="272" t="s">
        <v>19</v>
      </c>
      <c r="F6" s="947" t="s">
        <v>608</v>
      </c>
      <c r="G6" s="946" t="s">
        <v>73</v>
      </c>
      <c r="H6" s="493" t="s">
        <v>172</v>
      </c>
      <c r="I6" s="691" t="s">
        <v>171</v>
      </c>
      <c r="J6" s="526" t="s">
        <v>387</v>
      </c>
      <c r="K6" s="521" t="s">
        <v>497</v>
      </c>
    </row>
    <row r="7" spans="1:14">
      <c r="A7" s="334" t="s">
        <v>428</v>
      </c>
      <c r="B7" s="271"/>
      <c r="C7" s="271"/>
      <c r="D7" s="271"/>
      <c r="E7" s="271"/>
      <c r="F7" s="936"/>
      <c r="G7" s="271"/>
      <c r="H7" s="361"/>
      <c r="I7" s="690"/>
      <c r="J7" s="527"/>
      <c r="K7" s="518"/>
    </row>
    <row r="8" spans="1:14">
      <c r="A8" s="292">
        <f>'ADJ DETAIL INPUT'!E$10</f>
        <v>1</v>
      </c>
      <c r="B8" s="198" t="str">
        <f>'ADJ DETAIL INPUT'!E$11</f>
        <v>G-ROO</v>
      </c>
      <c r="C8" s="31" t="str">
        <f>TRIM(CONCATENATE('ADJ DETAIL INPUT'!E$7," ",'ADJ DETAIL INPUT'!E$8," ",'ADJ DETAIL INPUT'!E$9))</f>
        <v>Per Results Report</v>
      </c>
      <c r="D8" s="32">
        <f>'ADJ DETAIL INPUT'!E$58</f>
        <v>29386</v>
      </c>
      <c r="E8" s="32">
        <f>'ADJ DETAIL INPUT'!E$81</f>
        <v>446796</v>
      </c>
      <c r="F8" s="961">
        <f>((E8*$G$5)-D8)/$G$50</f>
        <v>4334.8087199505462</v>
      </c>
      <c r="G8" s="357">
        <f>D8/E8</f>
        <v>6.5770508240897418E-2</v>
      </c>
      <c r="I8" s="532" t="s">
        <v>126</v>
      </c>
      <c r="J8" s="523" t="s">
        <v>486</v>
      </c>
      <c r="K8" s="516"/>
      <c r="L8" s="333"/>
      <c r="M8" s="333"/>
      <c r="N8" s="333"/>
    </row>
    <row r="9" spans="1:14">
      <c r="A9" s="292">
        <f>'ADJ DETAIL INPUT'!F$10</f>
        <v>1.01</v>
      </c>
      <c r="B9" s="198" t="str">
        <f>'ADJ DETAIL INPUT'!F$11</f>
        <v>G-DFIT</v>
      </c>
      <c r="C9" s="31" t="str">
        <f>TRIM(CONCATENATE('ADJ DETAIL INPUT'!F$7," ",'ADJ DETAIL INPUT'!F$8," ",'ADJ DETAIL INPUT'!F$9))</f>
        <v>Deferred FIT Rate Base</v>
      </c>
      <c r="D9" s="114">
        <f>'ADJ DETAIL INPUT'!F$58</f>
        <v>1.115478</v>
      </c>
      <c r="E9" s="114">
        <f>'ADJ DETAIL INPUT'!F$81</f>
        <v>227</v>
      </c>
      <c r="F9" s="965">
        <f>((E9*$G$5)-D9)/$G$50</f>
        <v>20.488391886829664</v>
      </c>
      <c r="I9" s="532" t="s">
        <v>126</v>
      </c>
      <c r="J9" s="776" t="s">
        <v>486</v>
      </c>
      <c r="K9" s="516"/>
      <c r="L9" s="333"/>
      <c r="M9" s="333"/>
      <c r="N9" s="333"/>
    </row>
    <row r="10" spans="1:14">
      <c r="A10" s="292">
        <f>'ADJ DETAIL INPUT'!G$10</f>
        <v>1.02</v>
      </c>
      <c r="B10" s="198" t="str">
        <f>'ADJ DETAIL INPUT'!G$11</f>
        <v>G-DDC</v>
      </c>
      <c r="C10" s="31" t="str">
        <f>TRIM(CONCATENATE('ADJ DETAIL INPUT'!G$7," ",'ADJ DETAIL INPUT'!G$8," ",'ADJ DETAIL INPUT'!G$9))</f>
        <v>Deferred Debits and Credits</v>
      </c>
      <c r="D10" s="114">
        <f>'ADJ DETAIL INPUT'!G$58</f>
        <v>4.914E-3</v>
      </c>
      <c r="E10" s="114">
        <f>'ADJ DETAIL INPUT'!G$81</f>
        <v>1</v>
      </c>
      <c r="F10" s="965">
        <f t="shared" ref="F10:F27" si="0">((E10*$G$5)-D10)/$G$50</f>
        <v>9.025723298162848E-2</v>
      </c>
      <c r="I10" s="532" t="s">
        <v>434</v>
      </c>
      <c r="J10" s="693" t="s">
        <v>486</v>
      </c>
      <c r="K10" s="516"/>
      <c r="L10" s="333"/>
      <c r="M10" s="333"/>
      <c r="N10" s="333"/>
    </row>
    <row r="11" spans="1:14">
      <c r="A11" s="292">
        <f>'ADJ DETAIL INPUT'!H$10</f>
        <v>1.03</v>
      </c>
      <c r="B11" s="198" t="str">
        <f>'ADJ DETAIL INPUT'!H$11</f>
        <v>G-WC</v>
      </c>
      <c r="C11" s="31" t="str">
        <f>TRIM(CONCATENATE('ADJ DETAIL INPUT'!H$7," ",'ADJ DETAIL INPUT'!H$8," ",'ADJ DETAIL INPUT'!H$9))</f>
        <v>Working Capital</v>
      </c>
      <c r="D11" s="114">
        <f>'ADJ DETAIL INPUT'!H$58</f>
        <v>-0.78624000000000005</v>
      </c>
      <c r="E11" s="114">
        <f>'ADJ DETAIL INPUT'!H$81</f>
        <v>-160</v>
      </c>
      <c r="F11" s="965">
        <f t="shared" si="0"/>
        <v>-14.441157277060558</v>
      </c>
      <c r="I11" s="532" t="s">
        <v>126</v>
      </c>
      <c r="J11" s="693" t="s">
        <v>486</v>
      </c>
      <c r="K11" s="519"/>
    </row>
    <row r="12" spans="1:14">
      <c r="A12" s="292">
        <f>'ADJ DETAIL INPUT'!I$10</f>
        <v>2.0099999999999998</v>
      </c>
      <c r="B12" s="198" t="str">
        <f>'ADJ DETAIL INPUT'!I$11</f>
        <v>G-EBO</v>
      </c>
      <c r="C12" s="31" t="str">
        <f>TRIM(CONCATENATE('ADJ DETAIL INPUT'!I$7," ",'ADJ DETAIL INPUT'!I$8," ",'ADJ DETAIL INPUT'!I$9))</f>
        <v>Eliminate B &amp; O Taxes</v>
      </c>
      <c r="D12" s="114">
        <f>'ADJ DETAIL INPUT'!I$58</f>
        <v>0.79</v>
      </c>
      <c r="E12" s="114">
        <f>'ADJ DETAIL INPUT'!I$81</f>
        <v>0</v>
      </c>
      <c r="F12" s="965">
        <f t="shared" si="0"/>
        <v>-1.0457163355452219</v>
      </c>
      <c r="I12" s="532" t="s">
        <v>421</v>
      </c>
      <c r="J12" s="693" t="s">
        <v>486</v>
      </c>
      <c r="K12" s="519"/>
    </row>
    <row r="13" spans="1:14">
      <c r="A13" s="292">
        <f>'ADJ DETAIL INPUT'!J$10</f>
        <v>2.0199999999999996</v>
      </c>
      <c r="B13" s="198" t="str">
        <f>'ADJ DETAIL INPUT'!J$11</f>
        <v>G-RPT</v>
      </c>
      <c r="C13" s="31" t="str">
        <f>TRIM(CONCATENATE('ADJ DETAIL INPUT'!J$7," ",'ADJ DETAIL INPUT'!J$8," ",'ADJ DETAIL INPUT'!J$9))</f>
        <v>Restate Property Tax</v>
      </c>
      <c r="D13" s="114">
        <f>'ADJ DETAIL INPUT'!J$58</f>
        <v>-0.79</v>
      </c>
      <c r="E13" s="114">
        <f>'ADJ DETAIL INPUT'!J$81</f>
        <v>0</v>
      </c>
      <c r="F13" s="965">
        <f t="shared" si="0"/>
        <v>1.0457163355452219</v>
      </c>
      <c r="I13" s="532" t="s">
        <v>126</v>
      </c>
      <c r="J13" s="693" t="s">
        <v>486</v>
      </c>
      <c r="K13" s="519"/>
    </row>
    <row r="14" spans="1:14">
      <c r="A14" s="292">
        <f>'ADJ DETAIL INPUT'!K$10</f>
        <v>2.0299999999999994</v>
      </c>
      <c r="B14" s="198" t="str">
        <f>'ADJ DETAIL INPUT'!K$11</f>
        <v>G-UE</v>
      </c>
      <c r="C14" s="31" t="str">
        <f>TRIM(CONCATENATE('ADJ DETAIL INPUT'!K$7," ",'ADJ DETAIL INPUT'!K$8," ",'ADJ DETAIL INPUT'!K$9))</f>
        <v>Uncollectible Expense</v>
      </c>
      <c r="D14" s="114">
        <f>'ADJ DETAIL INPUT'!K$58</f>
        <v>-1515.22</v>
      </c>
      <c r="E14" s="114">
        <f>'ADJ DETAIL INPUT'!K$81</f>
        <v>0</v>
      </c>
      <c r="F14" s="965">
        <f t="shared" si="0"/>
        <v>2005.6839315757356</v>
      </c>
      <c r="I14" s="532" t="s">
        <v>126</v>
      </c>
      <c r="J14" s="693" t="s">
        <v>486</v>
      </c>
      <c r="K14" s="519"/>
    </row>
    <row r="15" spans="1:14">
      <c r="A15" s="292">
        <f>'ADJ DETAIL INPUT'!L$10</f>
        <v>2.0399999999999991</v>
      </c>
      <c r="B15" s="198" t="str">
        <f>'ADJ DETAIL INPUT'!L$11</f>
        <v>G-RE</v>
      </c>
      <c r="C15" s="31" t="str">
        <f>TRIM(CONCATENATE('ADJ DETAIL INPUT'!L$7," ",'ADJ DETAIL INPUT'!L$8," ",'ADJ DETAIL INPUT'!L$9))</f>
        <v>Regulatory Expense</v>
      </c>
      <c r="D15" s="114">
        <f>'ADJ DETAIL INPUT'!L$58</f>
        <v>-7.11</v>
      </c>
      <c r="E15" s="114">
        <f>'ADJ DETAIL INPUT'!L$81</f>
        <v>0</v>
      </c>
      <c r="F15" s="965">
        <f t="shared" si="0"/>
        <v>9.4114470199069977</v>
      </c>
      <c r="I15" s="532" t="s">
        <v>434</v>
      </c>
      <c r="J15" s="693" t="s">
        <v>486</v>
      </c>
      <c r="K15" s="519"/>
    </row>
    <row r="16" spans="1:14">
      <c r="A16" s="292">
        <f>'ADJ DETAIL INPUT'!M$10</f>
        <v>2.0499999999999989</v>
      </c>
      <c r="B16" s="198" t="str">
        <f>'ADJ DETAIL INPUT'!M$11</f>
        <v>G-ID</v>
      </c>
      <c r="C16" s="31" t="str">
        <f>TRIM(CONCATENATE('ADJ DETAIL INPUT'!M$7," ",'ADJ DETAIL INPUT'!M$8," ",'ADJ DETAIL INPUT'!M$9))</f>
        <v>Injuries &amp; Damages</v>
      </c>
      <c r="D16" s="114">
        <f>'ADJ DETAIL INPUT'!M$58</f>
        <v>35.549999999999997</v>
      </c>
      <c r="E16" s="114">
        <f>'ADJ DETAIL INPUT'!M$81</f>
        <v>0</v>
      </c>
      <c r="F16" s="965">
        <f t="shared" si="0"/>
        <v>-47.057235099534985</v>
      </c>
      <c r="I16" s="532" t="s">
        <v>434</v>
      </c>
      <c r="J16" s="693" t="s">
        <v>486</v>
      </c>
      <c r="K16" s="519"/>
    </row>
    <row r="17" spans="1:12">
      <c r="A17" s="292">
        <f>'ADJ DETAIL INPUT'!N$10</f>
        <v>2.0599999999999987</v>
      </c>
      <c r="B17" s="198" t="str">
        <f>'ADJ DETAIL INPUT'!N$11</f>
        <v>G-FIT</v>
      </c>
      <c r="C17" s="31" t="str">
        <f>TRIM(CONCATENATE('ADJ DETAIL INPUT'!N$7," ",'ADJ DETAIL INPUT'!N$8," ",'ADJ DETAIL INPUT'!N$9))</f>
        <v>FIT / DFIT Expense</v>
      </c>
      <c r="D17" s="293">
        <f>'ADJ DETAIL INPUT'!N$58</f>
        <v>-363</v>
      </c>
      <c r="E17" s="114">
        <f>'ADJ DETAIL INPUT'!N$81</f>
        <v>0</v>
      </c>
      <c r="F17" s="965">
        <f t="shared" si="0"/>
        <v>480.50003772520955</v>
      </c>
      <c r="I17" s="440" t="s">
        <v>531</v>
      </c>
      <c r="J17" s="905" t="s">
        <v>486</v>
      </c>
      <c r="K17" s="519"/>
    </row>
    <row r="18" spans="1:12">
      <c r="A18" s="292">
        <f>'ADJ DETAIL INPUT'!O$10</f>
        <v>2.0699999999999985</v>
      </c>
      <c r="B18" s="198" t="str">
        <f>'ADJ DETAIL INPUT'!O$11</f>
        <v>G-OSC</v>
      </c>
      <c r="C18" s="31" t="str">
        <f>TRIM(CONCATENATE('ADJ DETAIL INPUT'!O$7," ",'ADJ DETAIL INPUT'!O$8," ",'ADJ DETAIL INPUT'!O$9))</f>
        <v>Office Space Charges to Non-Utility</v>
      </c>
      <c r="D18" s="114">
        <f>'ADJ DETAIL INPUT'!O$58</f>
        <v>13.43</v>
      </c>
      <c r="E18" s="114">
        <f>'ADJ DETAIL INPUT'!O$81</f>
        <v>0</v>
      </c>
      <c r="F18" s="965">
        <f t="shared" si="0"/>
        <v>-17.777177704268773</v>
      </c>
      <c r="I18" s="532" t="s">
        <v>434</v>
      </c>
      <c r="J18" s="693" t="s">
        <v>486</v>
      </c>
      <c r="K18" s="519"/>
    </row>
    <row r="19" spans="1:12">
      <c r="A19" s="292">
        <f>'ADJ DETAIL INPUT'!P$10</f>
        <v>2.0799999999999983</v>
      </c>
      <c r="B19" s="198" t="str">
        <f>'ADJ DETAIL INPUT'!P$11</f>
        <v>G-RET</v>
      </c>
      <c r="C19" s="31" t="str">
        <f>TRIM(CONCATENATE('ADJ DETAIL INPUT'!P$7," ",'ADJ DETAIL INPUT'!P$8," ",'ADJ DETAIL INPUT'!P$9))</f>
        <v>Restate Excise Taxes</v>
      </c>
      <c r="D19" s="114">
        <f>'ADJ DETAIL INPUT'!P$58</f>
        <v>-1.58</v>
      </c>
      <c r="E19" s="114">
        <f>'ADJ DETAIL INPUT'!P$81</f>
        <v>0</v>
      </c>
      <c r="F19" s="965">
        <f t="shared" si="0"/>
        <v>2.0914326710904438</v>
      </c>
      <c r="I19" s="532" t="s">
        <v>421</v>
      </c>
      <c r="J19" s="693" t="s">
        <v>486</v>
      </c>
      <c r="K19" s="519"/>
    </row>
    <row r="20" spans="1:12">
      <c r="A20" s="292">
        <f>'ADJ DETAIL INPUT'!Q$10</f>
        <v>2.0899999999999981</v>
      </c>
      <c r="B20" s="198" t="str">
        <f>'ADJ DETAIL INPUT'!Q$11</f>
        <v>G-NGL</v>
      </c>
      <c r="C20" s="31" t="str">
        <f>TRIM(CONCATENATE('ADJ DETAIL INPUT'!Q$7," ",'ADJ DETAIL INPUT'!Q$8," ",'ADJ DETAIL INPUT'!Q$9))</f>
        <v>Net Gains &amp; Losses</v>
      </c>
      <c r="D20" s="114">
        <f>'ADJ DETAIL INPUT'!Q$58</f>
        <v>8.69</v>
      </c>
      <c r="E20" s="114">
        <f>'ADJ DETAIL INPUT'!Q$81</f>
        <v>0</v>
      </c>
      <c r="F20" s="965">
        <f t="shared" si="0"/>
        <v>-11.502879690997441</v>
      </c>
      <c r="I20" s="532" t="s">
        <v>434</v>
      </c>
      <c r="J20" s="694" t="s">
        <v>486</v>
      </c>
      <c r="K20" s="519"/>
    </row>
    <row r="21" spans="1:12">
      <c r="A21" s="292">
        <f>'ADJ DETAIL INPUT'!R$10</f>
        <v>2.0999999999999979</v>
      </c>
      <c r="B21" s="198" t="str">
        <f>'ADJ DETAIL INPUT'!R$11</f>
        <v>G-WNGC</v>
      </c>
      <c r="C21" s="31" t="str">
        <f>TRIM(CONCATENATE('ADJ DETAIL INPUT'!R$7," ",'ADJ DETAIL INPUT'!R$8," ",'ADJ DETAIL INPUT'!R$9))</f>
        <v>Weather Normalization / Gas Cost Adjust</v>
      </c>
      <c r="D21" s="114">
        <f>'ADJ DETAIL INPUT'!R$58</f>
        <v>0</v>
      </c>
      <c r="E21" s="114">
        <f>'ADJ DETAIL INPUT'!R$81</f>
        <v>0</v>
      </c>
      <c r="F21" s="965">
        <f t="shared" si="0"/>
        <v>0</v>
      </c>
      <c r="I21" s="532" t="s">
        <v>529</v>
      </c>
      <c r="J21" s="694" t="s">
        <v>486</v>
      </c>
      <c r="K21" s="643"/>
    </row>
    <row r="22" spans="1:12" s="302" customFormat="1">
      <c r="A22" s="316">
        <f>'ADJ DETAIL INPUT'!S$10</f>
        <v>2.1099999999999977</v>
      </c>
      <c r="B22" s="317" t="str">
        <f>'ADJ DETAIL INPUT'!S$11</f>
        <v>G-EAS</v>
      </c>
      <c r="C22" s="306" t="str">
        <f>TRIM(CONCATENATE('ADJ DETAIL INPUT'!S$7," ",'ADJ DETAIL INPUT'!S$8," ",'ADJ DETAIL INPUT'!S$9))</f>
        <v>Eliminate Adder Schedules</v>
      </c>
      <c r="D22" s="307">
        <f>'ADJ DETAIL INPUT'!S$58</f>
        <v>0</v>
      </c>
      <c r="E22" s="307">
        <f>'ADJ DETAIL INPUT'!S$81</f>
        <v>0</v>
      </c>
      <c r="F22" s="965">
        <f t="shared" si="0"/>
        <v>0</v>
      </c>
      <c r="G22" s="304"/>
      <c r="I22" s="532" t="s">
        <v>434</v>
      </c>
      <c r="J22" s="777" t="s">
        <v>486</v>
      </c>
      <c r="K22" s="725"/>
    </row>
    <row r="23" spans="1:12" s="89" customFormat="1">
      <c r="A23" s="292">
        <f>'ADJ DETAIL INPUT'!T$10</f>
        <v>2.1199999999999974</v>
      </c>
      <c r="B23" s="198" t="str">
        <f>'ADJ DETAIL INPUT'!T$11</f>
        <v>G-MR</v>
      </c>
      <c r="C23" s="294" t="str">
        <f>TRIM(CONCATENATE('ADJ DETAIL INPUT'!T$7," ",'ADJ DETAIL INPUT'!T$8," ",'ADJ DETAIL INPUT'!T$9))</f>
        <v>Misc. Restating Non-Util / Non- Recurring Expense</v>
      </c>
      <c r="D23" s="293">
        <f>'ADJ DETAIL INPUT'!T$58</f>
        <v>379.99</v>
      </c>
      <c r="E23" s="293">
        <f>'ADJ DETAIL INPUT'!T$81</f>
        <v>0</v>
      </c>
      <c r="F23" s="965">
        <f t="shared" si="0"/>
        <v>-502.98955739725176</v>
      </c>
      <c r="G23" s="33"/>
      <c r="I23" s="532" t="s">
        <v>434</v>
      </c>
      <c r="J23" s="733" t="s">
        <v>486</v>
      </c>
      <c r="K23" s="516"/>
    </row>
    <row r="24" spans="1:12" s="330" customFormat="1" ht="13.5" customHeight="1">
      <c r="A24" s="336">
        <f>'ADJ DETAIL INPUT'!U$10</f>
        <v>2.1299999999999972</v>
      </c>
      <c r="B24" s="337" t="str">
        <f>'ADJ DETAIL INPUT'!U$11</f>
        <v>G-RI</v>
      </c>
      <c r="C24" s="306" t="str">
        <f>TRIM(CONCATENATE('ADJ DETAIL INPUT'!U$7," ",'ADJ DETAIL INPUT'!U$8," ",'ADJ DETAIL INPUT'!U$9))</f>
        <v>Restating Incentives Expense</v>
      </c>
      <c r="D24" s="332">
        <f>'ADJ DETAIL INPUT'!U$58</f>
        <v>-683.35</v>
      </c>
      <c r="E24" s="332">
        <f>'ADJ DETAIL INPUT'!U$81</f>
        <v>0</v>
      </c>
      <c r="F24" s="965">
        <f t="shared" si="0"/>
        <v>904.54463024661698</v>
      </c>
      <c r="G24" s="363"/>
      <c r="H24" s="360"/>
      <c r="I24" s="532" t="s">
        <v>530</v>
      </c>
      <c r="J24" s="694" t="s">
        <v>486</v>
      </c>
      <c r="K24" s="732"/>
    </row>
    <row r="25" spans="1:12" s="89" customFormat="1" ht="13.5" customHeight="1">
      <c r="A25" s="292">
        <f>'ADJ DETAIL INPUT'!V$10</f>
        <v>2.139999999999997</v>
      </c>
      <c r="B25" s="198" t="str">
        <f>'ADJ DETAIL INPUT'!V$11</f>
        <v>G-DI</v>
      </c>
      <c r="C25" s="294" t="str">
        <f>TRIM(CONCATENATE('ADJ DETAIL INPUT'!V$7," ",'ADJ DETAIL INPUT'!V$8," ",'ADJ DETAIL INPUT'!V$9))</f>
        <v>Restate Debt Interest</v>
      </c>
      <c r="D25" s="293">
        <f>'ADJ DETAIL INPUT'!V$58</f>
        <v>-251</v>
      </c>
      <c r="E25" s="293">
        <f>'ADJ DETAIL INPUT'!V$81</f>
        <v>0</v>
      </c>
      <c r="F25" s="965">
        <f t="shared" si="0"/>
        <v>332.24658255930467</v>
      </c>
      <c r="G25" s="33"/>
      <c r="H25" s="360"/>
      <c r="I25" s="695" t="s">
        <v>126</v>
      </c>
      <c r="J25" s="694" t="s">
        <v>486</v>
      </c>
    </row>
    <row r="26" spans="1:12" s="333" customFormat="1" ht="13.5" customHeight="1">
      <c r="A26" s="336">
        <f>'ADJ DETAIL INPUT'!W$10</f>
        <v>2.1499999999999968</v>
      </c>
      <c r="B26" s="337" t="str">
        <f>'ADJ DETAIL INPUT'!W$11</f>
        <v>G-EOP09.2021</v>
      </c>
      <c r="C26" s="335" t="str">
        <f>TRIM(CONCATENATE('ADJ DETAIL INPUT'!W$7," ",'ADJ DETAIL INPUT'!W$8," ",'ADJ DETAIL INPUT'!W$9))</f>
        <v>Restate 09.2021 AMA Rate Base to EOP</v>
      </c>
      <c r="D26" s="293">
        <f>'ADJ DETAIL INPUT'!W$58</f>
        <v>130.19643000000002</v>
      </c>
      <c r="E26" s="293">
        <f>'ADJ DETAIL INPUT'!W$81</f>
        <v>26495</v>
      </c>
      <c r="F26" s="965">
        <f t="shared" si="0"/>
        <v>2391.3653878482469</v>
      </c>
      <c r="G26" s="33"/>
      <c r="I26" s="440" t="s">
        <v>531</v>
      </c>
      <c r="J26" s="694" t="s">
        <v>486</v>
      </c>
      <c r="K26" s="726"/>
    </row>
    <row r="27" spans="1:12" s="333" customFormat="1" ht="13.5" customHeight="1">
      <c r="A27" s="336">
        <f>'ADJ DETAIL INPUT'!X$10</f>
        <v>2.1599999999999966</v>
      </c>
      <c r="B27" s="337" t="str">
        <f>'ADJ DETAIL INPUT'!X$11</f>
        <v>G-TCRL</v>
      </c>
      <c r="C27" s="335" t="str">
        <f>TRIM(CONCATENATE('ADJ DETAIL INPUT'!X$7," ",'ADJ DETAIL INPUT'!X$8," ",'ADJ DETAIL INPUT'!X$9))</f>
        <v>Restate 09.2021 Tax Credit Regulatory Liability to EOP</v>
      </c>
      <c r="D27" s="293">
        <f>'ADJ DETAIL INPUT'!X$58</f>
        <v>-59.980284000000005</v>
      </c>
      <c r="E27" s="293">
        <f>'ADJ DETAIL INPUT'!X$81</f>
        <v>-12206</v>
      </c>
      <c r="F27" s="965">
        <f t="shared" si="0"/>
        <v>-1101.6797857737572</v>
      </c>
      <c r="G27" s="33"/>
      <c r="I27" s="440" t="s">
        <v>126</v>
      </c>
      <c r="J27" s="910" t="s">
        <v>486</v>
      </c>
      <c r="K27" s="726"/>
    </row>
    <row r="28" spans="1:12">
      <c r="A28" s="170"/>
      <c r="B28" s="197"/>
      <c r="C28" s="11" t="s">
        <v>75</v>
      </c>
      <c r="D28" s="951">
        <f>SUM(D8:D27)</f>
        <v>27072.950297999996</v>
      </c>
      <c r="E28" s="951">
        <f>SUM(E8:E27)</f>
        <v>461153</v>
      </c>
      <c r="F28" s="951">
        <f>SUM(F8:F27)</f>
        <v>8785.7830257736005</v>
      </c>
      <c r="G28" s="950">
        <f>D28/E28</f>
        <v>5.8707089182982647E-2</v>
      </c>
      <c r="H28" s="361"/>
      <c r="I28" s="690"/>
      <c r="J28" s="527"/>
      <c r="K28" s="357"/>
    </row>
    <row r="29" spans="1:12" ht="13.5" customHeight="1">
      <c r="A29" s="955" t="s">
        <v>665</v>
      </c>
      <c r="B29" s="198"/>
      <c r="D29" s="31"/>
      <c r="H29" s="361"/>
      <c r="I29" s="690"/>
      <c r="J29" s="527"/>
      <c r="K29" s="519"/>
    </row>
    <row r="30" spans="1:12" s="302" customFormat="1">
      <c r="A30" s="316">
        <f>'ADJ DETAIL INPUT'!AA$10</f>
        <v>3.01</v>
      </c>
      <c r="B30" s="317" t="str">
        <f>'ADJ DETAIL INPUT'!AA$11</f>
        <v>G-PREV</v>
      </c>
      <c r="C30" s="314" t="str">
        <f>TRIM(CONCATENATE('ADJ DETAIL INPUT'!AA$7," ",'ADJ DETAIL INPUT'!AA$8," ",'ADJ DETAIL INPUT'!AA$9))</f>
        <v>Pro Forma Revenue Normalization</v>
      </c>
      <c r="D30" s="307">
        <f>'ADJ DETAIL INPUT'!AA$58</f>
        <v>6871.42</v>
      </c>
      <c r="E30" s="307">
        <f>'ADJ DETAIL INPUT'!AA$81</f>
        <v>0</v>
      </c>
      <c r="F30" s="965">
        <f>((E30*$G$5)-D30)/$G$50</f>
        <v>-9095.6406865723402</v>
      </c>
      <c r="G30" s="364"/>
      <c r="I30" s="440" t="s">
        <v>529</v>
      </c>
      <c r="J30" s="777" t="s">
        <v>486</v>
      </c>
      <c r="K30" s="522"/>
      <c r="L30" s="310"/>
    </row>
    <row r="31" spans="1:12" s="330" customFormat="1">
      <c r="A31" s="336">
        <f>'ADJ DETAIL INPUT'!AB$10</f>
        <v>3.0199999999999996</v>
      </c>
      <c r="B31" s="197" t="str">
        <f>'ADJ DETAIL INPUT'!AB$11</f>
        <v>G-PRA</v>
      </c>
      <c r="C31" s="335" t="str">
        <f>TRIM(CONCATENATE('ADJ DETAIL INPUT'!AB$7," ",'ADJ DETAIL INPUT'!AB$8," ",'ADJ DETAIL INPUT'!AB$9))</f>
        <v>Pro Forma Def. Debits, Credits &amp; Regulatory Amorts</v>
      </c>
      <c r="D31" s="332">
        <f>'ADJ DETAIL INPUT'!AB$58</f>
        <v>392.63</v>
      </c>
      <c r="E31" s="332">
        <f>'ADJ DETAIL INPUT'!AB$81</f>
        <v>0</v>
      </c>
      <c r="F31" s="965">
        <f t="shared" ref="F31:F47" si="1">((E31*$G$5)-D31)/$G$50</f>
        <v>-519.72101876597526</v>
      </c>
      <c r="G31" s="364"/>
      <c r="I31" s="440" t="s">
        <v>435</v>
      </c>
      <c r="J31" s="777" t="s">
        <v>486</v>
      </c>
      <c r="K31" s="515"/>
      <c r="L31" s="333"/>
    </row>
    <row r="32" spans="1:12" s="330" customFormat="1">
      <c r="A32" s="336">
        <f>'ADJ DETAIL INPUT'!AC$10</f>
        <v>3.0299999999999994</v>
      </c>
      <c r="B32" s="337" t="str">
        <f>'ADJ DETAIL INPUT'!AC$11</f>
        <v>G-ARAM</v>
      </c>
      <c r="C32" s="335" t="str">
        <f>TRIM(CONCATENATE('ADJ DETAIL INPUT'!AC$7," ",'ADJ DETAIL INPUT'!AC$8," ",'ADJ DETAIL INPUT'!AC$9))</f>
        <v>Pro Forma 2023 ARAM DFIT</v>
      </c>
      <c r="D32" s="332">
        <f>'ADJ DETAIL INPUT'!AC$58</f>
        <v>-27</v>
      </c>
      <c r="E32" s="332">
        <f>'ADJ DETAIL INPUT'!AC$81</f>
        <v>0</v>
      </c>
      <c r="F32" s="965">
        <f t="shared" si="1"/>
        <v>35.739672227494928</v>
      </c>
      <c r="G32" s="364"/>
      <c r="H32" s="360"/>
      <c r="I32" s="440" t="s">
        <v>531</v>
      </c>
      <c r="J32" s="905" t="s">
        <v>486</v>
      </c>
      <c r="K32" s="640"/>
      <c r="L32" s="333"/>
    </row>
    <row r="33" spans="1:12" s="330" customFormat="1">
      <c r="A33" s="336">
        <f>'ADJ DETAIL INPUT'!AD$10</f>
        <v>3.0399999999999991</v>
      </c>
      <c r="B33" s="337" t="str">
        <f>'ADJ DETAIL INPUT'!AD$11</f>
        <v>G-PAMI</v>
      </c>
      <c r="C33" s="335" t="str">
        <f>TRIM(CONCATENATE('ADJ DETAIL INPUT'!AD$7," ",'ADJ DETAIL INPUT'!AD$8," ",'ADJ DETAIL INPUT'!AD$9))</f>
        <v>Pro Forma AMI Amortization</v>
      </c>
      <c r="D33" s="332">
        <f>'ADJ DETAIL INPUT'!AD$58</f>
        <v>-2657.0860620000003</v>
      </c>
      <c r="E33" s="332">
        <f>'ADJ DETAIL INPUT'!AD$81</f>
        <v>8617</v>
      </c>
      <c r="F33" s="965">
        <f t="shared" si="1"/>
        <v>4350.9592951607165</v>
      </c>
      <c r="G33" s="454"/>
      <c r="H33" s="360"/>
      <c r="I33" s="532" t="s">
        <v>126</v>
      </c>
      <c r="J33" s="735" t="s">
        <v>486</v>
      </c>
      <c r="K33" s="523"/>
      <c r="L33" s="333"/>
    </row>
    <row r="34" spans="1:12" s="330" customFormat="1">
      <c r="A34" s="336">
        <f>'ADJ DETAIL INPUT'!AE$10</f>
        <v>3.0499999999999989</v>
      </c>
      <c r="B34" s="337" t="str">
        <f>'ADJ DETAIL INPUT'!AE$11</f>
        <v>E-PAMM</v>
      </c>
      <c r="C34" s="335" t="str">
        <f>TRIM(CONCATENATE('ADJ DETAIL INPUT'!AE$7," ",'ADJ DETAIL INPUT'!AE$8," ",'ADJ DETAIL INPUT'!AE$9))</f>
        <v>Pro Forma Other Amortization</v>
      </c>
      <c r="D34" s="332">
        <f>'ADJ DETAIL INPUT'!AE$58</f>
        <v>131.13999999999999</v>
      </c>
      <c r="E34" s="332">
        <f>'ADJ DETAIL INPUT'!AE$81</f>
        <v>0</v>
      </c>
      <c r="F34" s="965">
        <f t="shared" si="1"/>
        <v>-173.58891170050683</v>
      </c>
      <c r="G34" s="331"/>
      <c r="H34" s="513"/>
      <c r="I34" s="440" t="s">
        <v>421</v>
      </c>
      <c r="J34" s="813" t="s">
        <v>486</v>
      </c>
      <c r="K34" s="598"/>
      <c r="L34" s="333"/>
    </row>
    <row r="35" spans="1:12" s="330" customFormat="1">
      <c r="A35" s="336">
        <f>'ADJ DETAIL INPUT'!AF$10</f>
        <v>3.0599999999999987</v>
      </c>
      <c r="B35" s="197" t="str">
        <f>'ADJ DETAIL INPUT'!AF$11</f>
        <v>G-PLEAP23</v>
      </c>
      <c r="C35" s="335" t="str">
        <f>TRIM(CONCATENATE('ADJ DETAIL INPUT'!AF$7," ",'ADJ DETAIL INPUT'!AF$8," ",'ADJ DETAIL INPUT'!AF$9))</f>
        <v>Pro Forma LEAP Deferral Amortization</v>
      </c>
      <c r="D35" s="332">
        <f>'ADJ DETAIL INPUT'!AF$58</f>
        <v>287.45137199999999</v>
      </c>
      <c r="E35" s="332">
        <f>'ADJ DETAIL INPUT'!AF$81</f>
        <v>-4202</v>
      </c>
      <c r="F35" s="965">
        <f t="shared" si="1"/>
        <v>-787.09026385143943</v>
      </c>
      <c r="G35" s="355"/>
      <c r="I35" s="440" t="s">
        <v>435</v>
      </c>
      <c r="J35" s="735" t="s">
        <v>486</v>
      </c>
      <c r="K35" s="598"/>
      <c r="L35" s="333"/>
    </row>
    <row r="36" spans="1:12">
      <c r="A36" s="292">
        <f>'ADJ DETAIL INPUT'!AG$10</f>
        <v>3.0699999999999985</v>
      </c>
      <c r="B36" s="198" t="str">
        <f>'ADJ DETAIL INPUT'!AG$11</f>
        <v>G-PLN</v>
      </c>
      <c r="C36" s="31" t="str">
        <f>TRIM(CONCATENATE('ADJ DETAIL INPUT'!AG$7," ",'ADJ DETAIL INPUT'!AG$8," ",'ADJ DETAIL INPUT'!AG$9))</f>
        <v>Pro Forma Non-Exec Labor &amp; Union Incentive</v>
      </c>
      <c r="D36" s="114">
        <f>'ADJ DETAIL INPUT'!AG$58</f>
        <v>-1431.7170000000001</v>
      </c>
      <c r="E36" s="114">
        <f>'ADJ DETAIL INPUT'!AG$81</f>
        <v>0</v>
      </c>
      <c r="F36" s="965">
        <f t="shared" si="1"/>
        <v>1895.1517149086058</v>
      </c>
      <c r="I36" s="532" t="s">
        <v>530</v>
      </c>
      <c r="J36" s="788" t="s">
        <v>486</v>
      </c>
      <c r="K36" s="523"/>
    </row>
    <row r="37" spans="1:12" ht="13.5" customHeight="1">
      <c r="A37" s="292">
        <f>'ADJ DETAIL INPUT'!AH$10</f>
        <v>3.0799999999999983</v>
      </c>
      <c r="B37" s="198" t="str">
        <f>'ADJ DETAIL INPUT'!AH$11</f>
        <v>G-PLE</v>
      </c>
      <c r="C37" s="31" t="str">
        <f>TRIM(CONCATENATE('ADJ DETAIL INPUT'!AH$7," ",'ADJ DETAIL INPUT'!AH$8," ",'ADJ DETAIL INPUT'!AH$9))</f>
        <v>Pro Forma Labor Exec</v>
      </c>
      <c r="D37" s="114">
        <f>'ADJ DETAIL INPUT'!AH$58</f>
        <v>-15.8</v>
      </c>
      <c r="E37" s="114">
        <f>'ADJ DETAIL INPUT'!AH$81</f>
        <v>0</v>
      </c>
      <c r="F37" s="965">
        <f t="shared" si="1"/>
        <v>20.91432671090444</v>
      </c>
      <c r="I37" s="532" t="s">
        <v>530</v>
      </c>
      <c r="J37" s="917" t="s">
        <v>486</v>
      </c>
      <c r="K37" s="523"/>
    </row>
    <row r="38" spans="1:12">
      <c r="A38" s="292">
        <f>'ADJ DETAIL INPUT'!AI$10</f>
        <v>3.0899999999999981</v>
      </c>
      <c r="B38" s="198" t="str">
        <f>'ADJ DETAIL INPUT'!AI$11</f>
        <v>G-PEB</v>
      </c>
      <c r="C38" s="31" t="str">
        <f>TRIM(CONCATENATE('ADJ DETAIL INPUT'!AI$7," ",'ADJ DETAIL INPUT'!AI$8," ",'ADJ DETAIL INPUT'!AI$9))</f>
        <v>Pro Forma Employee Benefits</v>
      </c>
      <c r="D38" s="114">
        <f>'ADJ DETAIL INPUT'!AI$58</f>
        <v>94.8</v>
      </c>
      <c r="E38" s="114">
        <f>'ADJ DETAIL INPUT'!AI$81</f>
        <v>0</v>
      </c>
      <c r="F38" s="965">
        <f t="shared" si="1"/>
        <v>-125.48596026542663</v>
      </c>
      <c r="I38" s="532" t="s">
        <v>530</v>
      </c>
      <c r="J38" s="917" t="s">
        <v>486</v>
      </c>
      <c r="K38" s="523"/>
    </row>
    <row r="39" spans="1:12" s="330" customFormat="1">
      <c r="A39" s="336">
        <f>'ADJ DETAIL INPUT'!AJ$10</f>
        <v>3.0999999999999979</v>
      </c>
      <c r="B39" s="337" t="str">
        <f>'ADJ DETAIL INPUT'!AJ$11</f>
        <v>G-LIRAP</v>
      </c>
      <c r="C39" s="306" t="str">
        <f>TRIM(CONCATENATE('ADJ DETAIL INPUT'!AJ$7," ",'ADJ DETAIL INPUT'!AJ$8," ",'ADJ DETAIL INPUT'!AJ$9))</f>
        <v>Remove LIRAP Labor</v>
      </c>
      <c r="D39" s="332">
        <f>'ADJ DETAIL INPUT'!AJ$58</f>
        <v>18.482050000000001</v>
      </c>
      <c r="E39" s="332">
        <f>'ADJ DETAIL INPUT'!AJ$81</f>
        <v>0</v>
      </c>
      <c r="F39" s="965">
        <f t="shared" si="1"/>
        <v>-24.464533670080467</v>
      </c>
      <c r="G39" s="688"/>
      <c r="H39" s="360"/>
      <c r="I39" s="532" t="s">
        <v>530</v>
      </c>
      <c r="J39" s="813" t="s">
        <v>486</v>
      </c>
      <c r="K39" s="689"/>
    </row>
    <row r="40" spans="1:12">
      <c r="A40" s="292">
        <f>'ADJ DETAIL INPUT'!AK$10</f>
        <v>3.1099999999999977</v>
      </c>
      <c r="B40" s="198" t="str">
        <f>'ADJ DETAIL INPUT'!AK$11</f>
        <v>G-PPT</v>
      </c>
      <c r="C40" s="31" t="str">
        <f>TRIM(CONCATENATE('ADJ DETAIL INPUT'!AK$7," ",'ADJ DETAIL INPUT'!AK$8," ",'ADJ DETAIL INPUT'!AK$9))</f>
        <v>Pro Forma Property Tax</v>
      </c>
      <c r="D40" s="114">
        <f>'ADJ DETAIL INPUT'!AK$58</f>
        <v>-457.41</v>
      </c>
      <c r="E40" s="114">
        <f>'ADJ DETAIL INPUT'!AK$81</f>
        <v>0</v>
      </c>
      <c r="F40" s="965">
        <f t="shared" si="1"/>
        <v>605.46975828068355</v>
      </c>
      <c r="I40" s="532" t="s">
        <v>126</v>
      </c>
      <c r="J40" s="777" t="s">
        <v>486</v>
      </c>
      <c r="K40" s="522"/>
      <c r="L40" s="89"/>
    </row>
    <row r="41" spans="1:12" s="89" customFormat="1" ht="14.25" customHeight="1">
      <c r="A41" s="292">
        <f>'ADJ DETAIL INPUT'!AL$10</f>
        <v>3.1199999999999974</v>
      </c>
      <c r="B41" s="198" t="str">
        <f>'ADJ DETAIL INPUT'!AL$11</f>
        <v>G-PINS</v>
      </c>
      <c r="C41" s="294" t="str">
        <f>TRIM(CONCATENATE('ADJ DETAIL INPUT'!AL$7," ",'ADJ DETAIL INPUT'!AL$8," ",'ADJ DETAIL INPUT'!AL$9))</f>
        <v>Pro Forma Insurance Expense</v>
      </c>
      <c r="D41" s="293">
        <f>'ADJ DETAIL INPUT'!AL$58</f>
        <v>-397.37</v>
      </c>
      <c r="E41" s="293">
        <f>'ADJ DETAIL INPUT'!AL$81</f>
        <v>0</v>
      </c>
      <c r="F41" s="965">
        <f t="shared" si="1"/>
        <v>525.99531677924665</v>
      </c>
      <c r="G41" s="33"/>
      <c r="H41" s="597"/>
      <c r="I41" s="440" t="s">
        <v>435</v>
      </c>
      <c r="J41" s="788" t="s">
        <v>486</v>
      </c>
      <c r="K41" s="692"/>
    </row>
    <row r="42" spans="1:12" s="330" customFormat="1">
      <c r="A42" s="336">
        <f>'ADJ DETAIL INPUT'!AM$10</f>
        <v>3.1299999999999972</v>
      </c>
      <c r="B42" s="337" t="str">
        <f>'ADJ DETAIL INPUT'!AM$11</f>
        <v>G-PIT</v>
      </c>
      <c r="C42" s="335" t="str">
        <f>TRIM(CONCATENATE('ADJ DETAIL INPUT'!AM$7," ",'ADJ DETAIL INPUT'!AM$8," ",'ADJ DETAIL INPUT'!AM$9))</f>
        <v>Pro Forma IS/IT Expense</v>
      </c>
      <c r="D42" s="332">
        <f>'ADJ DETAIL INPUT'!AM$58</f>
        <v>-293.09000000000003</v>
      </c>
      <c r="E42" s="332">
        <f>'ADJ DETAIL INPUT'!AM$81</f>
        <v>0</v>
      </c>
      <c r="F42" s="965">
        <f t="shared" si="1"/>
        <v>387.96076048727735</v>
      </c>
      <c r="G42" s="331"/>
      <c r="H42" s="597"/>
      <c r="I42" s="440" t="s">
        <v>435</v>
      </c>
      <c r="J42" s="788" t="s">
        <v>486</v>
      </c>
      <c r="K42" s="692"/>
      <c r="L42" s="333"/>
    </row>
    <row r="43" spans="1:12" s="330" customFormat="1">
      <c r="A43" s="336">
        <f>'ADJ DETAIL INPUT'!AN$10</f>
        <v>3.139999999999997</v>
      </c>
      <c r="B43" s="337" t="str">
        <f>'ADJ DETAIL INPUT'!AN$11</f>
        <v>G-PMisc</v>
      </c>
      <c r="C43" s="335" t="str">
        <f>TRIM(CONCATENATE('ADJ DETAIL INPUT'!AN$7," ",'ADJ DETAIL INPUT'!AN$8," ",'ADJ DETAIL INPUT'!AN$9))</f>
        <v>Pro Forma Misc O&amp;M Exp</v>
      </c>
      <c r="D43" s="332">
        <f>'ADJ DETAIL INPUT'!AN$58</f>
        <v>-1777.08762</v>
      </c>
      <c r="E43" s="332">
        <f>'ADJ DETAIL INPUT'!AN$81</f>
        <v>0</v>
      </c>
      <c r="F43" s="965">
        <f t="shared" si="1"/>
        <v>2352.3158910495949</v>
      </c>
      <c r="G43" s="599"/>
      <c r="H43" s="360"/>
      <c r="I43" s="532" t="s">
        <v>421</v>
      </c>
      <c r="J43" s="904" t="s">
        <v>486</v>
      </c>
      <c r="K43" s="692"/>
      <c r="L43" s="333"/>
    </row>
    <row r="44" spans="1:12" s="330" customFormat="1">
      <c r="A44" s="336">
        <f>'ADJ DETAIL INPUT'!AO$10</f>
        <v>3.1499999999999968</v>
      </c>
      <c r="B44" s="337" t="str">
        <f>'ADJ DETAIL INPUT'!AO$11</f>
        <v>G-EOP12.2021</v>
      </c>
      <c r="C44" s="335" t="str">
        <f>TRIM(CONCATENATE('ADJ DETAIL INPUT'!AO$7," ",'ADJ DETAIL INPUT'!AO$8," ",'ADJ DETAIL INPUT'!AO$9))</f>
        <v>Pro Form 09.2021 EOP Rate Base to 12.31.2021 EOP</v>
      </c>
      <c r="D44" s="332">
        <f>'ADJ DETAIL INPUT'!AO$58</f>
        <v>-332.70432800000003</v>
      </c>
      <c r="E44" s="332">
        <f>'ADJ DETAIL INPUT'!AO$81</f>
        <v>10748</v>
      </c>
      <c r="F44" s="965">
        <f t="shared" si="1"/>
        <v>1480.3943118326113</v>
      </c>
      <c r="G44" s="364"/>
      <c r="I44" s="440" t="s">
        <v>531</v>
      </c>
      <c r="J44" s="918" t="s">
        <v>486</v>
      </c>
      <c r="K44" s="692"/>
      <c r="L44" s="333"/>
    </row>
    <row r="45" spans="1:12" s="330" customFormat="1">
      <c r="A45" s="336">
        <f>'ADJ DETAIL INPUT'!AP$10</f>
        <v>4.01</v>
      </c>
      <c r="B45" s="337" t="str">
        <f>'ADJ DETAIL INPUT'!AP$11</f>
        <v>G-PVCap22</v>
      </c>
      <c r="C45" s="335" t="str">
        <f>TRIM(CONCATENATE('ADJ DETAIL INPUT'!AP$7," ",'ADJ DETAIL INPUT'!AP$8," ",'ADJ DETAIL INPUT'!AP$9))</f>
        <v>Provisional Capital Groups 2022 Additions EOP</v>
      </c>
      <c r="D45" s="332">
        <f>'ADJ DETAIL INPUT'!AP$58</f>
        <v>-329.200354</v>
      </c>
      <c r="E45" s="332">
        <f>'ADJ DETAIL INPUT'!AP$81</f>
        <v>32039</v>
      </c>
      <c r="F45" s="965">
        <f t="shared" si="1"/>
        <v>3535.9127501942517</v>
      </c>
      <c r="G45" s="331"/>
      <c r="I45" s="440" t="s">
        <v>531</v>
      </c>
      <c r="J45" s="918" t="s">
        <v>486</v>
      </c>
      <c r="K45" s="692"/>
      <c r="L45" s="333"/>
    </row>
    <row r="46" spans="1:12" s="330" customFormat="1">
      <c r="A46" s="336">
        <f>'ADJ DETAIL INPUT'!AQ$10</f>
        <v>4.0199999999999996</v>
      </c>
      <c r="B46" s="337" t="str">
        <f>'ADJ DETAIL INPUT'!AQ$11</f>
        <v>G-PVCap23</v>
      </c>
      <c r="C46" s="335" t="str">
        <f>TRIM(CONCATENATE('ADJ DETAIL INPUT'!AQ$7," ",'ADJ DETAIL INPUT'!AQ$8," ",'ADJ DETAIL INPUT'!AQ$9))</f>
        <v>Provisional Capital Groups 2023 Additions AMA</v>
      </c>
      <c r="D46" s="332">
        <f>'ADJ DETAIL INPUT'!AQ$58</f>
        <v>-513.52148199999999</v>
      </c>
      <c r="E46" s="332">
        <f>'ADJ DETAIL INPUT'!AQ$81</f>
        <v>6587</v>
      </c>
      <c r="F46" s="965">
        <f t="shared" si="1"/>
        <v>1317.114381511735</v>
      </c>
      <c r="G46" s="454"/>
      <c r="I46" s="440" t="s">
        <v>531</v>
      </c>
      <c r="J46" s="918" t="s">
        <v>486</v>
      </c>
      <c r="K46" s="692"/>
      <c r="L46" s="333"/>
    </row>
    <row r="47" spans="1:12" s="330" customFormat="1" ht="15" customHeight="1">
      <c r="A47" s="336">
        <f>'ADJ DETAIL INPUT'!AR$10</f>
        <v>4.0299999999999994</v>
      </c>
      <c r="B47" s="337" t="str">
        <f>'ADJ DETAIL INPUT'!AR$11</f>
        <v>G-Offsets23</v>
      </c>
      <c r="C47" s="335" t="str">
        <f>TRIM(CONCATENATE('ADJ DETAIL INPUT'!AR$7," ",'ADJ DETAIL INPUT'!AR$8," ",'ADJ DETAIL INPUT'!AR$9))</f>
        <v>2022-2023 Capital O&amp;M Offsets &amp; Revenue</v>
      </c>
      <c r="D47" s="332">
        <f>'ADJ DETAIL INPUT'!AR$58</f>
        <v>2753.94</v>
      </c>
      <c r="E47" s="332">
        <f>'ADJ DETAIL INPUT'!AR$81</f>
        <v>0</v>
      </c>
      <c r="F47" s="965">
        <f t="shared" si="1"/>
        <v>-3645.3671457106439</v>
      </c>
      <c r="G47" s="454"/>
      <c r="H47" s="643"/>
      <c r="I47" s="819" t="s">
        <v>593</v>
      </c>
      <c r="J47" s="814" t="s">
        <v>486</v>
      </c>
      <c r="K47" s="812"/>
      <c r="L47" s="333"/>
    </row>
    <row r="48" spans="1:12" s="330" customFormat="1" hidden="1">
      <c r="A48" s="336">
        <f>'ADJ DETAIL INPUT'!AS$10</f>
        <v>4.0399999999999991</v>
      </c>
      <c r="B48" s="337">
        <f>'ADJ DETAIL INPUT'!AS$11</f>
        <v>0</v>
      </c>
      <c r="C48" s="335" t="str">
        <f>TRIM(CONCATENATE('ADJ DETAIL INPUT'!AS$7," ",'ADJ DETAIL INPUT'!AS$8," ",'ADJ DETAIL INPUT'!AS$9))</f>
        <v>Pro Forma Open</v>
      </c>
      <c r="D48" s="332">
        <f>'ADJ DETAIL INPUT'!AS$58</f>
        <v>0</v>
      </c>
      <c r="E48" s="332">
        <f>'ADJ DETAIL INPUT'!AS$81</f>
        <v>0</v>
      </c>
      <c r="F48" s="332"/>
      <c r="G48" s="331"/>
      <c r="H48" s="360"/>
      <c r="I48" s="532"/>
      <c r="J48" s="523"/>
      <c r="K48" s="515"/>
      <c r="L48" s="333"/>
    </row>
    <row r="49" spans="1:12" s="330" customFormat="1" ht="13.5" thickBot="1">
      <c r="A49" s="336"/>
      <c r="B49" s="337"/>
      <c r="C49" s="957" t="s">
        <v>660</v>
      </c>
      <c r="D49" s="34">
        <f>SUM(D28:D47)</f>
        <v>29390.826873999988</v>
      </c>
      <c r="E49" s="34">
        <f>SUM(E28:E47)</f>
        <v>514942</v>
      </c>
      <c r="F49" s="34">
        <f>SUM(F28:F47)</f>
        <v>10922.352684380312</v>
      </c>
      <c r="G49" s="954">
        <f>D49/E49</f>
        <v>5.7075994721735628E-2</v>
      </c>
      <c r="H49" s="360"/>
      <c r="I49" s="532"/>
      <c r="J49" s="528"/>
      <c r="K49" s="516"/>
      <c r="L49" s="333"/>
    </row>
    <row r="50" spans="1:12" ht="17.25" customHeight="1" thickTop="1">
      <c r="A50" s="100" t="s">
        <v>498</v>
      </c>
      <c r="B50" s="100" t="s">
        <v>499</v>
      </c>
      <c r="C50" s="11" t="s">
        <v>139</v>
      </c>
      <c r="G50" s="270">
        <f>CF!E27</f>
        <v>0.755463</v>
      </c>
      <c r="I50" s="532" t="s">
        <v>434</v>
      </c>
      <c r="J50" s="903" t="s">
        <v>486</v>
      </c>
    </row>
    <row r="51" spans="1:12" s="330" customFormat="1" ht="17.25" customHeight="1">
      <c r="A51" s="100"/>
      <c r="B51" s="100"/>
      <c r="G51" s="599"/>
      <c r="H51" s="513"/>
      <c r="I51" s="532"/>
      <c r="J51" s="601"/>
      <c r="K51" s="600"/>
    </row>
    <row r="52" spans="1:12" s="330" customFormat="1" ht="17.25" customHeight="1">
      <c r="A52" s="956" t="s">
        <v>659</v>
      </c>
      <c r="B52" s="100"/>
      <c r="G52" s="599"/>
      <c r="H52" s="513"/>
      <c r="I52" s="532"/>
      <c r="J52" s="601"/>
      <c r="K52" s="600"/>
    </row>
    <row r="53" spans="1:12" s="330" customFormat="1">
      <c r="A53" s="336">
        <f>'ADJ DETAIL INPUT'!AV$10</f>
        <v>5</v>
      </c>
      <c r="B53" s="337" t="str">
        <f>'ADJ DETAIL INPUT'!AV$11</f>
        <v>G-ARAM24</v>
      </c>
      <c r="C53" s="335" t="str">
        <f>TRIM(CONCATENATE('ADJ DETAIL INPUT'!AV$7," ",'ADJ DETAIL INPUT'!AV$8," ",'ADJ DETAIL INPUT'!AV$9))</f>
        <v>Pro Forma 2024 ARAM DFIT</v>
      </c>
      <c r="D53" s="332">
        <f>'ADJ DETAIL INPUT'!AV$58</f>
        <v>-169</v>
      </c>
      <c r="E53" s="332">
        <f>'ADJ DETAIL INPUT'!AV$81</f>
        <v>0</v>
      </c>
      <c r="F53" s="965">
        <f>((E53*$G$5)-D53)/$G$50</f>
        <v>223.70387431283862</v>
      </c>
      <c r="G53" s="734"/>
      <c r="H53" s="360"/>
      <c r="I53" s="440" t="s">
        <v>531</v>
      </c>
      <c r="J53" s="905" t="s">
        <v>486</v>
      </c>
      <c r="K53" s="522"/>
      <c r="L53" s="333"/>
    </row>
    <row r="54" spans="1:12" s="330" customFormat="1">
      <c r="A54" s="336">
        <f>'ADJ DETAIL INPUT'!AW$10</f>
        <v>5.01</v>
      </c>
      <c r="B54" s="337" t="str">
        <f>'ADJ DETAIL INPUT'!AW$11</f>
        <v>G-PAMI24</v>
      </c>
      <c r="C54" s="335" t="str">
        <f>TRIM(CONCATENATE('ADJ DETAIL INPUT'!AW$7," ",'ADJ DETAIL INPUT'!AW$8," ",'ADJ DETAIL INPUT'!AW$9))</f>
        <v>Pro Forma 2024 AMI Amortization</v>
      </c>
      <c r="D54" s="332">
        <f>'ADJ DETAIL INPUT'!AW$58</f>
        <v>204.39292800000001</v>
      </c>
      <c r="E54" s="332">
        <f>'ADJ DETAIL INPUT'!AW$81</f>
        <v>-848</v>
      </c>
      <c r="F54" s="965">
        <f t="shared" ref="F54:F62" si="2">((E54*$G$5)-D54)/$G$50</f>
        <v>-352.60724615235955</v>
      </c>
      <c r="G54" s="641"/>
      <c r="H54" s="360"/>
      <c r="I54" s="532" t="s">
        <v>126</v>
      </c>
      <c r="J54" s="735" t="s">
        <v>486</v>
      </c>
      <c r="K54" s="522"/>
      <c r="L54" s="333"/>
    </row>
    <row r="55" spans="1:12" s="330" customFormat="1">
      <c r="A55" s="336">
        <f>'ADJ DETAIL INPUT'!AX$10</f>
        <v>5.0199999999999996</v>
      </c>
      <c r="B55" s="337" t="str">
        <f>'ADJ DETAIL INPUT'!AX$11</f>
        <v>G-PLN24</v>
      </c>
      <c r="C55" s="335" t="str">
        <f>TRIM(CONCATENATE('ADJ DETAIL INPUT'!AX$7," ",'ADJ DETAIL INPUT'!AX$8," ",'ADJ DETAIL INPUT'!AX$9))</f>
        <v>Pro Forma Non-Exec Labor &amp; Union Incentive</v>
      </c>
      <c r="D55" s="332">
        <f>'ADJ DETAIL INPUT'!AX$58</f>
        <v>-436.15899999999999</v>
      </c>
      <c r="E55" s="332">
        <f>'ADJ DETAIL INPUT'!AX$81</f>
        <v>0</v>
      </c>
      <c r="F55" s="965">
        <f t="shared" si="2"/>
        <v>577.33998885451706</v>
      </c>
      <c r="G55" s="641"/>
      <c r="I55" s="440" t="s">
        <v>573</v>
      </c>
      <c r="J55" s="788" t="s">
        <v>486</v>
      </c>
      <c r="K55" s="522"/>
      <c r="L55" s="333"/>
    </row>
    <row r="56" spans="1:12" s="330" customFormat="1">
      <c r="A56" s="336">
        <f>'ADJ DETAIL INPUT'!AY$10</f>
        <v>5.0299999999999994</v>
      </c>
      <c r="B56" s="337" t="str">
        <f>'ADJ DETAIL INPUT'!AY$11</f>
        <v>G-PEB24</v>
      </c>
      <c r="C56" s="335" t="str">
        <f>TRIM(CONCATENATE('ADJ DETAIL INPUT'!AY$7," ",'ADJ DETAIL INPUT'!AY$8," ",'ADJ DETAIL INPUT'!AY$9))</f>
        <v>Pro Forma Employee Benefits</v>
      </c>
      <c r="D56" s="332">
        <f>'ADJ DETAIL INPUT'!AY$58</f>
        <v>-111.39</v>
      </c>
      <c r="E56" s="332">
        <f>'ADJ DETAIL INPUT'!AY$81</f>
        <v>0</v>
      </c>
      <c r="F56" s="965">
        <f t="shared" si="2"/>
        <v>147.4460033118763</v>
      </c>
      <c r="G56" s="641"/>
      <c r="I56" s="532" t="s">
        <v>530</v>
      </c>
      <c r="J56" s="917" t="s">
        <v>486</v>
      </c>
      <c r="K56" s="522"/>
      <c r="L56" s="333"/>
    </row>
    <row r="57" spans="1:12" s="330" customFormat="1">
      <c r="A57" s="336">
        <f>'ADJ DETAIL INPUT'!AZ$10</f>
        <v>5.0399999999999991</v>
      </c>
      <c r="B57" s="337" t="str">
        <f>'ADJ DETAIL INPUT'!AZ$11</f>
        <v>G-PPT24</v>
      </c>
      <c r="C57" s="335" t="str">
        <f>TRIM(CONCATENATE('ADJ DETAIL INPUT'!AZ$7," ",'ADJ DETAIL INPUT'!AZ$8," ",'ADJ DETAIL INPUT'!AZ$9))</f>
        <v>Pro Forma Property Tax</v>
      </c>
      <c r="D57" s="332">
        <f>'ADJ DETAIL INPUT'!AZ$58</f>
        <v>-206.98000000000002</v>
      </c>
      <c r="E57" s="332">
        <f>'ADJ DETAIL INPUT'!AZ$81</f>
        <v>0</v>
      </c>
      <c r="F57" s="965">
        <f t="shared" si="2"/>
        <v>273.97767991284815</v>
      </c>
      <c r="G57" s="641"/>
      <c r="I57" s="532" t="s">
        <v>126</v>
      </c>
      <c r="J57" s="917" t="s">
        <v>486</v>
      </c>
      <c r="K57" s="522"/>
      <c r="L57" s="333"/>
    </row>
    <row r="58" spans="1:12" s="330" customFormat="1">
      <c r="A58" s="336">
        <f>'ADJ DETAIL INPUT'!BA$10</f>
        <v>5.0499999999999989</v>
      </c>
      <c r="B58" s="337" t="str">
        <f>'ADJ DETAIL INPUT'!BA$11</f>
        <v>G-PINS24</v>
      </c>
      <c r="C58" s="335" t="str">
        <f>TRIM(CONCATENATE('ADJ DETAIL INPUT'!BA$7," ",'ADJ DETAIL INPUT'!BA$8," ",'ADJ DETAIL INPUT'!BA$9))</f>
        <v>Pro Forma Insurance Expense</v>
      </c>
      <c r="D58" s="332">
        <f>'ADJ DETAIL INPUT'!BA$58</f>
        <v>-79.789999999999992</v>
      </c>
      <c r="E58" s="332">
        <f>'ADJ DETAIL INPUT'!BA$81</f>
        <v>0</v>
      </c>
      <c r="F58" s="965">
        <f t="shared" si="2"/>
        <v>105.6173498900674</v>
      </c>
      <c r="G58" s="641"/>
      <c r="H58" s="360"/>
      <c r="I58" s="440" t="s">
        <v>435</v>
      </c>
      <c r="J58" s="788" t="s">
        <v>486</v>
      </c>
      <c r="K58" s="522"/>
      <c r="L58" s="333"/>
    </row>
    <row r="59" spans="1:12" s="330" customFormat="1">
      <c r="A59" s="336">
        <f>'ADJ DETAIL INPUT'!BB$10</f>
        <v>5.0599999999999987</v>
      </c>
      <c r="B59" s="337" t="str">
        <f>'ADJ DETAIL INPUT'!BB$11</f>
        <v>G-PLEAP24</v>
      </c>
      <c r="C59" s="335" t="str">
        <f>TRIM(CONCATENATE('ADJ DETAIL INPUT'!BB$7," ",'ADJ DETAIL INPUT'!BB$8," ",'ADJ DETAIL INPUT'!BB$9))</f>
        <v>Pro Forma LEAP Deferral Amortization</v>
      </c>
      <c r="D59" s="332">
        <f>'ADJ DETAIL INPUT'!BB$58</f>
        <v>147.9075</v>
      </c>
      <c r="E59" s="332">
        <f>'ADJ DETAIL INPUT'!BB$81</f>
        <v>-1250</v>
      </c>
      <c r="F59" s="965">
        <f t="shared" si="2"/>
        <v>-316.73622665835387</v>
      </c>
      <c r="G59" s="641"/>
      <c r="H59" s="360"/>
      <c r="I59" s="440" t="s">
        <v>435</v>
      </c>
      <c r="J59" s="903" t="s">
        <v>486</v>
      </c>
      <c r="K59" s="522"/>
      <c r="L59" s="333"/>
    </row>
    <row r="60" spans="1:12" s="330" customFormat="1">
      <c r="A60" s="336">
        <f>'ADJ DETAIL INPUT'!BC$10</f>
        <v>5.0699999999999985</v>
      </c>
      <c r="B60" s="337" t="str">
        <f>'ADJ DETAIL INPUT'!BC$11</f>
        <v>G-PMisc24</v>
      </c>
      <c r="C60" s="335" t="str">
        <f>TRIM(CONCATENATE('ADJ DETAIL INPUT'!BC$7," ",'ADJ DETAIL INPUT'!BC$8," ",'ADJ DETAIL INPUT'!BC$9))</f>
        <v>Pro Forma Misc O&amp;M Exp</v>
      </c>
      <c r="D60" s="332">
        <f>'ADJ DETAIL INPUT'!BC$58</f>
        <v>-789.81592999999998</v>
      </c>
      <c r="E60" s="332">
        <f>'ADJ DETAIL INPUT'!BC$81</f>
        <v>0</v>
      </c>
      <c r="F60" s="965">
        <f t="shared" si="2"/>
        <v>1045.4726836390398</v>
      </c>
      <c r="G60" s="641"/>
      <c r="H60" s="360"/>
      <c r="I60" s="532" t="s">
        <v>421</v>
      </c>
      <c r="J60" s="642" t="s">
        <v>486</v>
      </c>
      <c r="K60" s="522"/>
      <c r="L60" s="333"/>
    </row>
    <row r="61" spans="1:12" s="330" customFormat="1">
      <c r="A61" s="336">
        <f>'ADJ DETAIL INPUT'!BD$10</f>
        <v>5.0799999999999983</v>
      </c>
      <c r="B61" s="337" t="str">
        <f>'ADJ DETAIL INPUT'!BD$11</f>
        <v>G-PVCap24</v>
      </c>
      <c r="C61" s="335" t="str">
        <f>TRIM(CONCATENATE('ADJ DETAIL INPUT'!BD$7," ",'ADJ DETAIL INPUT'!BD$8," ",'ADJ DETAIL INPUT'!BD$9))</f>
        <v>Provisional Capital Groups 2024 Additions AMA</v>
      </c>
      <c r="D61" s="332">
        <f>'ADJ DETAIL INPUT'!BD$58</f>
        <v>141.47097200000002</v>
      </c>
      <c r="E61" s="332">
        <f>'ADJ DETAIL INPUT'!BD$81</f>
        <v>22198</v>
      </c>
      <c r="F61" s="965">
        <f t="shared" si="2"/>
        <v>1960.6556879688349</v>
      </c>
      <c r="G61" s="641"/>
      <c r="I61" s="440" t="s">
        <v>531</v>
      </c>
      <c r="J61" s="918" t="s">
        <v>486</v>
      </c>
      <c r="K61" s="522"/>
      <c r="L61" s="333"/>
    </row>
    <row r="62" spans="1:12" s="330" customFormat="1">
      <c r="A62" s="336">
        <f>'ADJ DETAIL INPUT'!BE$10</f>
        <v>5.0899999999999981</v>
      </c>
      <c r="B62" s="337" t="str">
        <f>'ADJ DETAIL INPUT'!BE$11</f>
        <v>G-Offsets24</v>
      </c>
      <c r="C62" s="335" t="str">
        <f>TRIM(CONCATENATE('ADJ DETAIL INPUT'!BE$7," ",'ADJ DETAIL INPUT'!BE$8," ",'ADJ DETAIL INPUT'!BE$9))</f>
        <v>Prov. 2024 Capital O&amp;M Offsets &amp; Revenues</v>
      </c>
      <c r="D62" s="332">
        <f>'ADJ DETAIL INPUT'!BE$58</f>
        <v>1128.1199999999999</v>
      </c>
      <c r="E62" s="332">
        <f>'ADJ DETAIL INPUT'!BE$81</f>
        <v>0</v>
      </c>
      <c r="F62" s="965">
        <f t="shared" si="2"/>
        <v>-1493.2829271585767</v>
      </c>
      <c r="G62" s="641"/>
      <c r="H62" s="643"/>
      <c r="I62" s="819" t="s">
        <v>593</v>
      </c>
      <c r="J62" s="814" t="s">
        <v>486</v>
      </c>
      <c r="K62" s="814"/>
      <c r="L62" s="333"/>
    </row>
    <row r="63" spans="1:12" ht="3.75" customHeight="1"/>
    <row r="64" spans="1:12" s="330" customFormat="1" ht="13.5" thickBot="1">
      <c r="A64" s="336"/>
      <c r="B64" s="337"/>
      <c r="C64" s="964" t="s">
        <v>661</v>
      </c>
      <c r="D64" s="34">
        <f>SUM(D49:D62)</f>
        <v>29219.583343999988</v>
      </c>
      <c r="E64" s="34">
        <f>SUM(E49:E62)</f>
        <v>535042</v>
      </c>
      <c r="F64" s="34">
        <f>SUM(F49:F62)</f>
        <v>13093.939552301044</v>
      </c>
      <c r="G64" s="954">
        <f>D64/E64</f>
        <v>5.4611756355575802E-2</v>
      </c>
      <c r="H64" s="360"/>
      <c r="I64" s="532"/>
      <c r="J64" s="528"/>
      <c r="K64" s="516"/>
      <c r="L64" s="333"/>
    </row>
    <row r="65" spans="3:6" ht="14.25" thickTop="1" thickBot="1">
      <c r="C65" s="974" t="s">
        <v>662</v>
      </c>
      <c r="F65" s="953">
        <f>F64-F49</f>
        <v>2171.5868679207324</v>
      </c>
    </row>
    <row r="66" spans="3:6" ht="13.5" thickTop="1"/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5">
    <mergeCell ref="A4:G4"/>
    <mergeCell ref="A1:G1"/>
    <mergeCell ref="A2:G2"/>
    <mergeCell ref="A3:G3"/>
    <mergeCell ref="D5:F5"/>
  </mergeCells>
  <phoneticPr fontId="0" type="noConversion"/>
  <pageMargins left="0.75" right="0.5" top="1" bottom="1" header="0.5" footer="0.5"/>
  <pageSetup scale="77" orientation="portrait" r:id="rId3"/>
  <headerFooter alignWithMargins="0">
    <oddHeader>&amp;RExh. EMA-3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27EC1-F6B8-49FA-984B-7FA4EE0C5B0A}">
  <sheetPr codeName="Sheet8"/>
  <dimension ref="A1:AK1048576"/>
  <sheetViews>
    <sheetView workbookViewId="0">
      <selection activeCell="S36" sqref="S36"/>
    </sheetView>
  </sheetViews>
  <sheetFormatPr defaultColWidth="9.140625" defaultRowHeight="12.75"/>
  <cols>
    <col min="1" max="1" width="4.5703125" style="43" customWidth="1"/>
    <col min="2" max="3" width="1.5703125" style="42" customWidth="1"/>
    <col min="4" max="4" width="2.5703125" style="42" customWidth="1"/>
    <col min="5" max="5" width="22.5703125" style="112" customWidth="1"/>
    <col min="6" max="6" width="10" style="112" hidden="1" customWidth="1"/>
    <col min="7" max="7" width="11.5703125" style="112" hidden="1" customWidth="1"/>
    <col min="8" max="8" width="8.5703125" style="112" hidden="1" customWidth="1"/>
    <col min="9" max="9" width="11.5703125" style="112" hidden="1" customWidth="1"/>
    <col min="10" max="10" width="15" style="112" customWidth="1"/>
    <col min="11" max="11" width="9.5703125" style="112" customWidth="1"/>
    <col min="12" max="12" width="10.85546875" style="330" customWidth="1"/>
    <col min="13" max="13" width="12.28515625" style="330" customWidth="1"/>
    <col min="14" max="14" width="11.85546875" style="330" customWidth="1"/>
    <col min="15" max="15" width="1.28515625" style="330" customWidth="1"/>
    <col min="16" max="16" width="13" style="330" customWidth="1"/>
    <col min="17" max="17" width="16" style="330" customWidth="1"/>
    <col min="18" max="18" width="8.5703125" style="330" customWidth="1"/>
    <col min="19" max="22" width="9.140625" style="330"/>
    <col min="23" max="23" width="9.140625" style="303"/>
    <col min="24" max="24" width="14.5703125" style="303" customWidth="1"/>
    <col min="25" max="25" width="13" style="303" customWidth="1"/>
    <col min="26" max="29" width="9.140625" style="303"/>
    <col min="30" max="16384" width="9.140625" style="330"/>
  </cols>
  <sheetData>
    <row r="1" spans="1:37" ht="15" customHeight="1">
      <c r="A1" s="369" t="str">
        <f>'ROO INPUT 1.00'!A3:C3</f>
        <v>AVISTA UTILITIES</v>
      </c>
      <c r="D1" s="43"/>
      <c r="F1" s="356"/>
      <c r="G1" s="356"/>
      <c r="I1" s="356"/>
      <c r="J1" s="1079" t="s">
        <v>670</v>
      </c>
      <c r="K1" s="1079"/>
      <c r="L1" s="1079"/>
      <c r="M1" s="1079"/>
      <c r="N1" s="1079"/>
      <c r="O1" s="1079"/>
      <c r="P1" s="1079"/>
      <c r="Q1" s="1079"/>
      <c r="R1" s="1079"/>
      <c r="S1" s="1005"/>
    </row>
    <row r="2" spans="1:37" ht="15" customHeight="1">
      <c r="A2" s="369" t="str">
        <f>'ADJ DETAIL INPUT'!A3</f>
        <v>WASHINGTON NATURAL GAS</v>
      </c>
      <c r="D2" s="43"/>
      <c r="G2" s="92"/>
      <c r="H2" s="93"/>
      <c r="I2" s="92"/>
      <c r="J2" s="1079"/>
      <c r="K2" s="1079"/>
      <c r="L2" s="1079"/>
      <c r="M2" s="1079"/>
      <c r="N2" s="1079"/>
      <c r="O2" s="1079"/>
      <c r="P2" s="1079"/>
      <c r="Q2" s="1079"/>
      <c r="R2" s="1079"/>
      <c r="S2" s="1005"/>
    </row>
    <row r="3" spans="1:37" ht="15" customHeight="1">
      <c r="A3" s="369" t="str">
        <f>'ROO INPUT 1.00'!A5:C5</f>
        <v>TWELVE MONTHS ENDED SEPTEMBER 30, 2021</v>
      </c>
      <c r="D3" s="43"/>
      <c r="G3" s="92"/>
      <c r="H3" s="93"/>
      <c r="I3" s="92"/>
      <c r="J3" s="93"/>
      <c r="K3" s="93"/>
      <c r="L3" s="333"/>
      <c r="O3" s="333"/>
      <c r="P3" s="333"/>
      <c r="R3" s="1001" t="s">
        <v>617</v>
      </c>
    </row>
    <row r="4" spans="1:37" ht="15">
      <c r="A4" s="369" t="str">
        <f>'ROO INPUT 1.00'!A6:C6</f>
        <v xml:space="preserve">(000'S OF DOLLARS)   </v>
      </c>
      <c r="D4" s="43"/>
      <c r="G4" s="580"/>
      <c r="H4" s="580"/>
      <c r="Q4" s="1023" t="s">
        <v>609</v>
      </c>
      <c r="R4" s="1009">
        <v>4.3700000000000003E-2</v>
      </c>
    </row>
    <row r="5" spans="1:37">
      <c r="D5" s="43"/>
      <c r="L5" s="112"/>
      <c r="M5" s="112"/>
      <c r="Q5" s="1023" t="s">
        <v>44</v>
      </c>
      <c r="R5" s="1009">
        <v>7.0599999999999996E-2</v>
      </c>
    </row>
    <row r="6" spans="1:37" ht="14.25" customHeight="1">
      <c r="D6" s="43"/>
      <c r="F6" s="834"/>
      <c r="G6" s="834"/>
      <c r="H6" s="834"/>
      <c r="I6" s="834"/>
      <c r="J6" s="1077" t="s">
        <v>594</v>
      </c>
      <c r="K6" s="850" t="s">
        <v>599</v>
      </c>
      <c r="L6" s="834"/>
      <c r="M6" s="834"/>
      <c r="N6" s="1026" t="s">
        <v>600</v>
      </c>
      <c r="P6" s="632" t="s">
        <v>605</v>
      </c>
      <c r="Q6" s="1023" t="s">
        <v>610</v>
      </c>
      <c r="R6" s="1009">
        <v>4.2700000000000002E-2</v>
      </c>
      <c r="X6" s="309"/>
      <c r="Y6" s="309"/>
      <c r="Z6" s="309"/>
      <c r="AA6" s="309"/>
      <c r="AB6" s="309"/>
      <c r="AC6" s="309"/>
      <c r="AD6" s="333"/>
      <c r="AE6" s="333"/>
      <c r="AF6" s="333"/>
      <c r="AG6" s="333"/>
      <c r="AH6" s="333"/>
      <c r="AI6" s="333"/>
      <c r="AJ6" s="333"/>
      <c r="AK6" s="333"/>
    </row>
    <row r="7" spans="1:37">
      <c r="A7" s="44"/>
      <c r="B7" s="44"/>
      <c r="C7" s="45"/>
      <c r="D7" s="45"/>
      <c r="E7" s="44"/>
      <c r="F7" s="830" t="s">
        <v>140</v>
      </c>
      <c r="G7" s="831"/>
      <c r="H7" s="832"/>
      <c r="I7" s="831"/>
      <c r="J7" s="1078"/>
      <c r="K7" s="851" t="s">
        <v>79</v>
      </c>
      <c r="L7" s="835"/>
      <c r="M7" s="916" t="s">
        <v>634</v>
      </c>
      <c r="N7" s="1024" t="s">
        <v>602</v>
      </c>
      <c r="P7" s="633" t="s">
        <v>571</v>
      </c>
      <c r="Q7" s="1023" t="s">
        <v>611</v>
      </c>
      <c r="R7" s="1009">
        <v>3.1399999999999997E-2</v>
      </c>
      <c r="X7" s="309"/>
      <c r="Y7" s="309"/>
      <c r="Z7" s="309"/>
      <c r="AA7" s="309"/>
      <c r="AB7" s="309"/>
      <c r="AC7" s="309"/>
      <c r="AD7" s="333"/>
      <c r="AE7" s="333"/>
      <c r="AF7" s="333"/>
      <c r="AG7" s="333"/>
      <c r="AH7" s="333"/>
      <c r="AI7" s="333"/>
      <c r="AJ7" s="333"/>
      <c r="AK7" s="333"/>
    </row>
    <row r="8" spans="1:37">
      <c r="A8" s="47"/>
      <c r="B8" s="48"/>
      <c r="C8" s="49"/>
      <c r="D8" s="50"/>
      <c r="E8" s="51"/>
      <c r="F8" s="553" t="s">
        <v>141</v>
      </c>
      <c r="G8" s="553" t="s">
        <v>25</v>
      </c>
      <c r="H8" s="836" t="s">
        <v>404</v>
      </c>
      <c r="I8" s="833" t="s">
        <v>25</v>
      </c>
      <c r="J8" s="855" t="s">
        <v>595</v>
      </c>
      <c r="K8" s="841" t="s">
        <v>596</v>
      </c>
      <c r="L8" s="881" t="s">
        <v>600</v>
      </c>
      <c r="M8" s="913" t="s">
        <v>632</v>
      </c>
      <c r="N8" s="1026" t="s">
        <v>603</v>
      </c>
      <c r="P8" s="634" t="s">
        <v>606</v>
      </c>
      <c r="Q8" s="1023" t="s">
        <v>612</v>
      </c>
      <c r="R8" s="1009">
        <v>5.6300000000000003E-2</v>
      </c>
    </row>
    <row r="9" spans="1:37">
      <c r="A9" s="52" t="s">
        <v>7</v>
      </c>
      <c r="B9" s="53"/>
      <c r="C9" s="54"/>
      <c r="D9" s="55"/>
      <c r="E9" s="56"/>
      <c r="F9" s="837" t="s">
        <v>8</v>
      </c>
      <c r="G9" s="838" t="s">
        <v>500</v>
      </c>
      <c r="H9" s="838" t="s">
        <v>501</v>
      </c>
      <c r="I9" s="838" t="s">
        <v>15</v>
      </c>
      <c r="J9" s="856" t="s">
        <v>408</v>
      </c>
      <c r="K9" s="841" t="s">
        <v>597</v>
      </c>
      <c r="L9" s="882" t="s">
        <v>601</v>
      </c>
      <c r="M9" s="914" t="s">
        <v>633</v>
      </c>
      <c r="N9" s="852" t="s">
        <v>596</v>
      </c>
      <c r="P9" s="635"/>
      <c r="Q9" s="1023" t="s">
        <v>613</v>
      </c>
      <c r="R9" s="1009">
        <v>0.10290000000000001</v>
      </c>
    </row>
    <row r="10" spans="1:37">
      <c r="A10" s="57" t="s">
        <v>16</v>
      </c>
      <c r="B10" s="58"/>
      <c r="C10" s="59"/>
      <c r="D10" s="60"/>
      <c r="E10" s="61" t="s">
        <v>17</v>
      </c>
      <c r="F10" s="839" t="s">
        <v>18</v>
      </c>
      <c r="G10" s="840" t="s">
        <v>117</v>
      </c>
      <c r="H10" s="840" t="s">
        <v>502</v>
      </c>
      <c r="I10" s="840" t="s">
        <v>117</v>
      </c>
      <c r="J10" s="857" t="s">
        <v>25</v>
      </c>
      <c r="K10" s="842" t="s">
        <v>598</v>
      </c>
      <c r="L10" s="883" t="s">
        <v>134</v>
      </c>
      <c r="M10" s="915" t="s">
        <v>597</v>
      </c>
      <c r="N10" s="1024" t="s">
        <v>604</v>
      </c>
      <c r="P10" s="633" t="s">
        <v>203</v>
      </c>
      <c r="Q10" s="1023" t="s">
        <v>614</v>
      </c>
      <c r="R10" s="1009">
        <v>3.4700000000000002E-2</v>
      </c>
    </row>
    <row r="11" spans="1:37" ht="14.25" customHeight="1">
      <c r="A11" s="62"/>
      <c r="B11" s="62"/>
      <c r="C11" s="63"/>
      <c r="D11" s="63"/>
      <c r="E11" s="63" t="s">
        <v>26</v>
      </c>
      <c r="F11" s="20"/>
      <c r="G11" s="556"/>
      <c r="H11" s="556"/>
      <c r="I11" s="20"/>
      <c r="J11" s="1004" t="s">
        <v>27</v>
      </c>
      <c r="K11" s="843" t="s">
        <v>28</v>
      </c>
      <c r="L11" s="862" t="s">
        <v>29</v>
      </c>
      <c r="M11" s="886" t="s">
        <v>30</v>
      </c>
      <c r="N11" s="1015" t="s">
        <v>31</v>
      </c>
      <c r="P11" s="853"/>
      <c r="Q11" s="1023" t="s">
        <v>615</v>
      </c>
      <c r="R11" s="1009">
        <v>3.8199999999999998E-2</v>
      </c>
    </row>
    <row r="12" spans="1:37" ht="14.25" hidden="1" customHeight="1">
      <c r="A12" s="62"/>
      <c r="B12" s="62"/>
      <c r="C12" s="63"/>
      <c r="D12" s="63"/>
      <c r="E12" s="63"/>
      <c r="F12" s="20"/>
      <c r="G12" s="20"/>
      <c r="H12" s="20"/>
      <c r="I12" s="20"/>
      <c r="J12" s="1004"/>
      <c r="K12" s="844"/>
      <c r="L12" s="862"/>
      <c r="M12" s="886"/>
      <c r="N12" s="1015"/>
      <c r="P12" s="862"/>
    </row>
    <row r="13" spans="1:37" ht="14.25" hidden="1" customHeight="1">
      <c r="A13" s="62"/>
      <c r="B13" s="62"/>
      <c r="C13" s="63"/>
      <c r="D13" s="63"/>
      <c r="E13" s="63"/>
      <c r="F13" s="20"/>
      <c r="G13" s="20"/>
      <c r="H13" s="20"/>
      <c r="I13" s="20"/>
      <c r="J13" s="1004"/>
      <c r="K13" s="844"/>
      <c r="L13" s="862"/>
      <c r="M13" s="886"/>
      <c r="N13" s="1015"/>
      <c r="P13" s="862"/>
    </row>
    <row r="14" spans="1:37" ht="14.25" customHeight="1">
      <c r="A14" s="113"/>
      <c r="B14" s="1" t="s">
        <v>32</v>
      </c>
      <c r="C14" s="1"/>
      <c r="D14" s="1"/>
      <c r="E14" s="1"/>
      <c r="F14" s="39"/>
      <c r="G14" s="39"/>
      <c r="I14" s="39"/>
      <c r="J14" s="1008"/>
      <c r="K14" s="844"/>
      <c r="L14" s="863"/>
      <c r="M14" s="887"/>
      <c r="N14" s="995"/>
      <c r="P14" s="863"/>
      <c r="Q14" s="1023" t="s">
        <v>616</v>
      </c>
      <c r="R14" s="1009">
        <v>0.10539999999999999</v>
      </c>
    </row>
    <row r="15" spans="1:37">
      <c r="A15" s="113">
        <v>1</v>
      </c>
      <c r="B15" s="2"/>
      <c r="C15" s="2" t="s">
        <v>33</v>
      </c>
      <c r="D15" s="2"/>
      <c r="E15" s="2"/>
      <c r="F15" s="40">
        <f>'ADJ DETAIL INPUT'!E14</f>
        <v>156530</v>
      </c>
      <c r="G15" s="40">
        <f>H15-F15</f>
        <v>-1716</v>
      </c>
      <c r="H15" s="40">
        <f>'ADJ DETAIL INPUT'!Y14</f>
        <v>154814</v>
      </c>
      <c r="I15" s="40">
        <f>J15-H15</f>
        <v>-44946</v>
      </c>
      <c r="J15" s="1002">
        <f>'ADJ DETAIL INPUT'!AT14</f>
        <v>109868</v>
      </c>
      <c r="K15" s="844"/>
      <c r="L15" s="864">
        <f>J15*K15</f>
        <v>0</v>
      </c>
      <c r="M15" s="888"/>
      <c r="N15" s="1011">
        <f>J15+L15+M15</f>
        <v>109868</v>
      </c>
      <c r="P15" s="878">
        <f>N15-J15</f>
        <v>0</v>
      </c>
      <c r="Q15" s="1023" t="s">
        <v>493</v>
      </c>
      <c r="R15" s="1009">
        <v>6.7900000000000002E-2</v>
      </c>
    </row>
    <row r="16" spans="1:37">
      <c r="A16" s="113">
        <v>2</v>
      </c>
      <c r="B16" s="1"/>
      <c r="C16" s="3" t="s">
        <v>34</v>
      </c>
      <c r="D16" s="3"/>
      <c r="E16" s="3"/>
      <c r="F16" s="211">
        <f>'ADJ DETAIL INPUT'!E15</f>
        <v>4817</v>
      </c>
      <c r="G16" s="211">
        <f>H16-F16</f>
        <v>-122</v>
      </c>
      <c r="H16" s="211">
        <f>'ADJ DETAIL INPUT'!Y15</f>
        <v>4695</v>
      </c>
      <c r="I16" s="211">
        <f>J16-H16</f>
        <v>296</v>
      </c>
      <c r="J16" s="1000">
        <f>'ADJ DETAIL INPUT'!AT15</f>
        <v>4991</v>
      </c>
      <c r="K16" s="844"/>
      <c r="L16" s="865">
        <f t="shared" ref="L16:L17" si="0">J16*K16</f>
        <v>0</v>
      </c>
      <c r="M16" s="889"/>
      <c r="N16" s="940">
        <f>J16+L16+M16</f>
        <v>4991</v>
      </c>
      <c r="P16" s="878">
        <f t="shared" ref="P16:P17" si="1">N16-J16</f>
        <v>0</v>
      </c>
    </row>
    <row r="17" spans="1:16">
      <c r="A17" s="113">
        <v>3</v>
      </c>
      <c r="B17" s="1"/>
      <c r="C17" s="3" t="s">
        <v>35</v>
      </c>
      <c r="D17" s="3"/>
      <c r="E17" s="3"/>
      <c r="F17" s="213">
        <f>'ADJ DETAIL INPUT'!E16</f>
        <v>48647</v>
      </c>
      <c r="G17" s="213">
        <f>H17-F17</f>
        <v>-49074</v>
      </c>
      <c r="H17" s="213">
        <f>'ADJ DETAIL INPUT'!Y16</f>
        <v>-427</v>
      </c>
      <c r="I17" s="213">
        <f>J17-H17</f>
        <v>4298</v>
      </c>
      <c r="J17" s="1013">
        <f>'ADJ DETAIL INPUT'!AT16</f>
        <v>3871</v>
      </c>
      <c r="K17" s="844"/>
      <c r="L17" s="866">
        <f t="shared" si="0"/>
        <v>0</v>
      </c>
      <c r="M17" s="647">
        <v>1357</v>
      </c>
      <c r="N17" s="1003">
        <f>J17+L17+M17</f>
        <v>5228</v>
      </c>
      <c r="P17" s="878">
        <f t="shared" si="1"/>
        <v>1357</v>
      </c>
    </row>
    <row r="18" spans="1:16">
      <c r="A18" s="113">
        <v>4</v>
      </c>
      <c r="B18" s="1" t="s">
        <v>36</v>
      </c>
      <c r="C18" s="3"/>
      <c r="D18" s="3"/>
      <c r="E18" s="3"/>
      <c r="F18" s="211">
        <f>SUM(F15:F17)</f>
        <v>209994</v>
      </c>
      <c r="G18" s="211">
        <f t="shared" ref="G18:P18" si="2">SUM(G15:G17)</f>
        <v>-50912</v>
      </c>
      <c r="H18" s="211">
        <f t="shared" si="2"/>
        <v>159082</v>
      </c>
      <c r="I18" s="211">
        <f t="shared" si="2"/>
        <v>-40352</v>
      </c>
      <c r="J18" s="1000">
        <f t="shared" si="2"/>
        <v>118730</v>
      </c>
      <c r="K18" s="844"/>
      <c r="L18" s="867">
        <f t="shared" si="2"/>
        <v>0</v>
      </c>
      <c r="M18" s="880">
        <f t="shared" si="2"/>
        <v>1357</v>
      </c>
      <c r="N18" s="1020">
        <f t="shared" si="2"/>
        <v>120087</v>
      </c>
      <c r="P18" s="885">
        <f t="shared" si="2"/>
        <v>1357</v>
      </c>
    </row>
    <row r="19" spans="1:16">
      <c r="A19" s="113"/>
      <c r="B19" s="1"/>
      <c r="C19" s="3"/>
      <c r="D19" s="3"/>
      <c r="E19" s="3"/>
      <c r="F19" s="211"/>
      <c r="G19" s="211"/>
      <c r="H19" s="211"/>
      <c r="I19" s="211"/>
      <c r="J19" s="1000"/>
      <c r="K19" s="845">
        <f t="shared" ref="K19" si="3">SUM(K16:K18)</f>
        <v>0</v>
      </c>
      <c r="L19" s="867"/>
      <c r="M19" s="219"/>
      <c r="N19" s="940"/>
      <c r="P19" s="867"/>
    </row>
    <row r="20" spans="1:16">
      <c r="A20" s="113"/>
      <c r="B20" s="1" t="s">
        <v>37</v>
      </c>
      <c r="C20" s="3"/>
      <c r="D20" s="3"/>
      <c r="E20" s="3"/>
      <c r="F20" s="211"/>
      <c r="G20" s="211"/>
      <c r="H20" s="211"/>
      <c r="I20" s="211"/>
      <c r="J20" s="1000"/>
      <c r="K20" s="844"/>
      <c r="L20" s="867"/>
      <c r="M20" s="219"/>
      <c r="N20" s="940"/>
      <c r="P20" s="867"/>
    </row>
    <row r="21" spans="1:16">
      <c r="A21" s="113"/>
      <c r="B21" s="1"/>
      <c r="C21" s="3" t="s">
        <v>208</v>
      </c>
      <c r="D21" s="3"/>
      <c r="E21" s="3"/>
      <c r="F21" s="211"/>
      <c r="G21" s="211"/>
      <c r="H21" s="211"/>
      <c r="I21" s="211"/>
      <c r="J21" s="1000"/>
      <c r="K21" s="845"/>
      <c r="L21" s="867"/>
      <c r="M21" s="219"/>
      <c r="N21" s="940"/>
      <c r="P21" s="867"/>
    </row>
    <row r="22" spans="1:16">
      <c r="A22" s="113">
        <v>5</v>
      </c>
      <c r="B22" s="1"/>
      <c r="C22" s="3"/>
      <c r="D22" s="3" t="s">
        <v>38</v>
      </c>
      <c r="E22" s="3"/>
      <c r="F22" s="211">
        <f>'ADJ DETAIL INPUT'!E21</f>
        <v>96285</v>
      </c>
      <c r="G22" s="211">
        <f>H22-F22</f>
        <v>-45796</v>
      </c>
      <c r="H22" s="211">
        <f>'ADJ DETAIL INPUT'!Y21</f>
        <v>50489</v>
      </c>
      <c r="I22" s="211">
        <f>J22-H22</f>
        <v>-50489</v>
      </c>
      <c r="J22" s="1000">
        <f>'ADJ DETAIL INPUT'!AT21</f>
        <v>0</v>
      </c>
      <c r="K22" s="844"/>
      <c r="L22" s="865">
        <f t="shared" ref="L22:L24" si="4">J22*K22</f>
        <v>0</v>
      </c>
      <c r="M22" s="889"/>
      <c r="N22" s="940">
        <f>J22+L22+M22</f>
        <v>0</v>
      </c>
      <c r="P22" s="878">
        <f>N22-J22</f>
        <v>0</v>
      </c>
    </row>
    <row r="23" spans="1:16">
      <c r="A23" s="113">
        <v>6</v>
      </c>
      <c r="B23" s="1"/>
      <c r="C23" s="3"/>
      <c r="D23" s="3" t="s">
        <v>39</v>
      </c>
      <c r="E23" s="3"/>
      <c r="F23" s="211">
        <f>'ADJ DETAIL INPUT'!E22</f>
        <v>762</v>
      </c>
      <c r="G23" s="211">
        <f>H23-F23</f>
        <v>2</v>
      </c>
      <c r="H23" s="211">
        <f>'ADJ DETAIL INPUT'!Y22</f>
        <v>764</v>
      </c>
      <c r="I23" s="211">
        <f>J23-H23</f>
        <v>52.926000000000045</v>
      </c>
      <c r="J23" s="1000">
        <f>'ADJ DETAIL INPUT'!AT22</f>
        <v>816.92600000000004</v>
      </c>
      <c r="K23" s="854">
        <f>R4</f>
        <v>4.3700000000000003E-2</v>
      </c>
      <c r="L23" s="884">
        <f>J23*K23</f>
        <v>35.699666200000003</v>
      </c>
      <c r="M23" s="889"/>
      <c r="N23" s="940">
        <f>J23+L23+M23</f>
        <v>852.62566620000007</v>
      </c>
      <c r="P23" s="878">
        <f>N23-J23</f>
        <v>35.699666200000024</v>
      </c>
    </row>
    <row r="24" spans="1:16">
      <c r="A24" s="113">
        <v>7</v>
      </c>
      <c r="B24" s="1"/>
      <c r="C24" s="3"/>
      <c r="D24" s="3" t="s">
        <v>40</v>
      </c>
      <c r="E24" s="3"/>
      <c r="F24" s="213">
        <f>'ADJ DETAIL INPUT'!E23</f>
        <v>-6010</v>
      </c>
      <c r="G24" s="213">
        <f>H24-F24</f>
        <v>6010</v>
      </c>
      <c r="H24" s="213">
        <f>'ADJ DETAIL INPUT'!Y23</f>
        <v>0</v>
      </c>
      <c r="I24" s="213">
        <f>J24-H24</f>
        <v>0</v>
      </c>
      <c r="J24" s="1013">
        <f>'ADJ DETAIL INPUT'!AT23</f>
        <v>0</v>
      </c>
      <c r="K24" s="844"/>
      <c r="L24" s="876">
        <f t="shared" si="4"/>
        <v>0</v>
      </c>
      <c r="M24" s="890"/>
      <c r="N24" s="1003">
        <f>J24+L24+M24</f>
        <v>0</v>
      </c>
      <c r="P24" s="879">
        <f>N24-J24</f>
        <v>0</v>
      </c>
    </row>
    <row r="25" spans="1:16">
      <c r="A25" s="113">
        <v>8</v>
      </c>
      <c r="B25" s="1"/>
      <c r="C25" s="3"/>
      <c r="D25" s="3"/>
      <c r="E25" s="3" t="s">
        <v>41</v>
      </c>
      <c r="F25" s="211">
        <f>SUM(F22:F24)</f>
        <v>91037</v>
      </c>
      <c r="G25" s="211">
        <f t="shared" ref="G25:J25" si="5">SUM(G22:G24)</f>
        <v>-39784</v>
      </c>
      <c r="H25" s="211">
        <f t="shared" si="5"/>
        <v>51253</v>
      </c>
      <c r="I25" s="211">
        <f t="shared" si="5"/>
        <v>-50436.074000000001</v>
      </c>
      <c r="J25" s="1000">
        <f t="shared" si="5"/>
        <v>816.92600000000004</v>
      </c>
      <c r="K25" s="846"/>
      <c r="L25" s="878">
        <f>SUM(L22:L24)</f>
        <v>35.699666200000003</v>
      </c>
      <c r="M25" s="68">
        <f t="shared" ref="M25:P25" si="6">SUM(M22:M24)</f>
        <v>0</v>
      </c>
      <c r="N25" s="1018">
        <f t="shared" si="6"/>
        <v>852.62566620000007</v>
      </c>
      <c r="P25" s="878">
        <f t="shared" si="6"/>
        <v>35.699666200000024</v>
      </c>
    </row>
    <row r="26" spans="1:16" ht="5.25" customHeight="1">
      <c r="A26" s="113"/>
      <c r="B26" s="1"/>
      <c r="C26" s="3"/>
      <c r="D26" s="3"/>
      <c r="E26" s="3"/>
      <c r="F26" s="211"/>
      <c r="G26" s="211"/>
      <c r="H26" s="212"/>
      <c r="I26" s="211"/>
      <c r="J26" s="999"/>
      <c r="K26" s="846"/>
      <c r="L26" s="867"/>
      <c r="M26" s="219"/>
      <c r="N26" s="940"/>
      <c r="P26" s="867"/>
    </row>
    <row r="27" spans="1:16">
      <c r="A27" s="113"/>
      <c r="B27" s="1"/>
      <c r="C27" s="3" t="s">
        <v>42</v>
      </c>
      <c r="D27" s="3"/>
      <c r="E27" s="3"/>
      <c r="F27" s="211"/>
      <c r="G27" s="211"/>
      <c r="H27" s="211"/>
      <c r="I27" s="211"/>
      <c r="J27" s="1000"/>
      <c r="K27" s="846"/>
      <c r="L27" s="867"/>
      <c r="M27" s="219"/>
      <c r="N27" s="940"/>
      <c r="P27" s="867"/>
    </row>
    <row r="28" spans="1:16">
      <c r="A28" s="113">
        <v>9</v>
      </c>
      <c r="B28" s="1"/>
      <c r="C28" s="3"/>
      <c r="D28" s="3" t="s">
        <v>43</v>
      </c>
      <c r="E28" s="3"/>
      <c r="F28" s="211">
        <f>'ADJ DETAIL INPUT'!E27</f>
        <v>1957</v>
      </c>
      <c r="G28" s="211">
        <f>H28-F28</f>
        <v>0</v>
      </c>
      <c r="H28" s="211">
        <f>'ADJ DETAIL INPUT'!Y27</f>
        <v>1957</v>
      </c>
      <c r="I28" s="211">
        <f>J28-H28</f>
        <v>320.54599999999982</v>
      </c>
      <c r="J28" s="1000">
        <f>'ADJ DETAIL INPUT'!AT27</f>
        <v>2277.5459999999998</v>
      </c>
      <c r="K28" s="846">
        <f>R4</f>
        <v>4.3700000000000003E-2</v>
      </c>
      <c r="L28" s="867">
        <f>J28*K28</f>
        <v>99.528760199999994</v>
      </c>
      <c r="M28" s="219"/>
      <c r="N28" s="940">
        <f>J28+L28+M28</f>
        <v>2377.0747601999997</v>
      </c>
      <c r="P28" s="878">
        <f>N28-J28</f>
        <v>99.528760199999851</v>
      </c>
    </row>
    <row r="29" spans="1:16">
      <c r="A29" s="113">
        <v>10</v>
      </c>
      <c r="B29" s="1"/>
      <c r="C29" s="3"/>
      <c r="D29" s="3" t="s">
        <v>44</v>
      </c>
      <c r="E29" s="3"/>
      <c r="F29" s="211">
        <f>'ADJ DETAIL INPUT'!E28</f>
        <v>467</v>
      </c>
      <c r="G29" s="211">
        <f>H29-F29</f>
        <v>0</v>
      </c>
      <c r="H29" s="211">
        <f>'ADJ DETAIL INPUT'!Y28</f>
        <v>467</v>
      </c>
      <c r="I29" s="211">
        <f>J29-H29</f>
        <v>50</v>
      </c>
      <c r="J29" s="1000">
        <f>'ADJ DETAIL INPUT'!AT28</f>
        <v>517</v>
      </c>
      <c r="K29" s="846">
        <f>R5</f>
        <v>7.0599999999999996E-2</v>
      </c>
      <c r="L29" s="867">
        <f t="shared" ref="L29:L30" si="7">J29*K29</f>
        <v>36.5002</v>
      </c>
      <c r="M29" s="219"/>
      <c r="N29" s="940">
        <f t="shared" ref="N29:N30" si="8">J29+L29+M29</f>
        <v>553.50019999999995</v>
      </c>
      <c r="P29" s="878">
        <f>N29-J29</f>
        <v>36.50019999999995</v>
      </c>
    </row>
    <row r="30" spans="1:16">
      <c r="A30" s="242">
        <v>11</v>
      </c>
      <c r="B30" s="1"/>
      <c r="C30" s="3"/>
      <c r="D30" s="3" t="s">
        <v>21</v>
      </c>
      <c r="E30" s="3"/>
      <c r="F30" s="213">
        <f>'ADJ DETAIL INPUT'!E29</f>
        <v>187</v>
      </c>
      <c r="G30" s="213">
        <f>H30-F30</f>
        <v>0</v>
      </c>
      <c r="H30" s="213">
        <f>'ADJ DETAIL INPUT'!Y29</f>
        <v>187</v>
      </c>
      <c r="I30" s="213">
        <f>J30-H30</f>
        <v>31</v>
      </c>
      <c r="J30" s="1013">
        <f>'ADJ DETAIL INPUT'!AT29</f>
        <v>218</v>
      </c>
      <c r="K30" s="847">
        <f>R6</f>
        <v>4.2700000000000002E-2</v>
      </c>
      <c r="L30" s="868">
        <f t="shared" si="7"/>
        <v>9.3086000000000002</v>
      </c>
      <c r="M30" s="213"/>
      <c r="N30" s="1003">
        <f t="shared" si="8"/>
        <v>227.30860000000001</v>
      </c>
      <c r="P30" s="879">
        <f>N30-J30</f>
        <v>9.3086000000000126</v>
      </c>
    </row>
    <row r="31" spans="1:16">
      <c r="A31" s="113">
        <v>12</v>
      </c>
      <c r="B31" s="1"/>
      <c r="C31" s="3"/>
      <c r="D31" s="3"/>
      <c r="E31" s="3" t="s">
        <v>45</v>
      </c>
      <c r="F31" s="211">
        <f t="shared" ref="F31:J31" si="9">SUM(F28:F30)</f>
        <v>2611</v>
      </c>
      <c r="G31" s="211">
        <f t="shared" si="9"/>
        <v>0</v>
      </c>
      <c r="H31" s="211">
        <f t="shared" si="9"/>
        <v>2611</v>
      </c>
      <c r="I31" s="211">
        <f t="shared" si="9"/>
        <v>401.54599999999982</v>
      </c>
      <c r="J31" s="1000">
        <f t="shared" si="9"/>
        <v>3012.5459999999998</v>
      </c>
      <c r="K31" s="848"/>
      <c r="L31" s="867">
        <f>SUM(L28:L30)</f>
        <v>145.33756020000001</v>
      </c>
      <c r="M31" s="211">
        <f t="shared" ref="M31:P31" si="10">SUM(M28:M30)</f>
        <v>0</v>
      </c>
      <c r="N31" s="940">
        <f t="shared" si="10"/>
        <v>3157.8835601999995</v>
      </c>
      <c r="P31" s="867">
        <f t="shared" si="10"/>
        <v>145.33756019999981</v>
      </c>
    </row>
    <row r="32" spans="1:16" ht="3" customHeight="1">
      <c r="A32" s="113"/>
      <c r="B32" s="1"/>
      <c r="C32" s="3"/>
      <c r="D32" s="3"/>
      <c r="E32" s="3"/>
      <c r="F32" s="211"/>
      <c r="G32" s="211"/>
      <c r="H32" s="212"/>
      <c r="I32" s="211"/>
      <c r="J32" s="999"/>
      <c r="K32" s="848"/>
      <c r="L32" s="867"/>
      <c r="M32" s="219"/>
      <c r="N32" s="940"/>
      <c r="P32" s="867"/>
    </row>
    <row r="33" spans="1:16">
      <c r="A33" s="113"/>
      <c r="B33" s="1"/>
      <c r="C33" s="3" t="s">
        <v>46</v>
      </c>
      <c r="D33" s="3"/>
      <c r="E33" s="3"/>
      <c r="F33" s="211"/>
      <c r="G33" s="211"/>
      <c r="H33" s="211"/>
      <c r="I33" s="211"/>
      <c r="J33" s="1000"/>
      <c r="K33" s="846"/>
      <c r="L33" s="867"/>
      <c r="M33" s="219"/>
      <c r="N33" s="940"/>
      <c r="P33" s="867"/>
    </row>
    <row r="34" spans="1:16">
      <c r="A34" s="113">
        <v>13</v>
      </c>
      <c r="B34" s="1"/>
      <c r="C34" s="3"/>
      <c r="D34" s="3" t="s">
        <v>43</v>
      </c>
      <c r="E34" s="3"/>
      <c r="F34" s="211">
        <f>'ADJ DETAIL INPUT'!E33</f>
        <v>12281</v>
      </c>
      <c r="G34" s="211">
        <f>H34-F34</f>
        <v>-14</v>
      </c>
      <c r="H34" s="211">
        <f>'ADJ DETAIL INPUT'!Y33</f>
        <v>12267</v>
      </c>
      <c r="I34" s="211">
        <f>J34-H34</f>
        <v>1144.7080000000005</v>
      </c>
      <c r="J34" s="1000">
        <f>'ADJ DETAIL INPUT'!AT33</f>
        <v>13411.708000000001</v>
      </c>
      <c r="K34" s="846">
        <f>R4</f>
        <v>4.3700000000000003E-2</v>
      </c>
      <c r="L34" s="867">
        <f>J34*K34</f>
        <v>586.09163960000001</v>
      </c>
      <c r="M34" s="219"/>
      <c r="N34" s="940">
        <f>J34+L34+M34</f>
        <v>13997.7996396</v>
      </c>
      <c r="P34" s="878">
        <f>N34-J34</f>
        <v>586.09163959999933</v>
      </c>
    </row>
    <row r="35" spans="1:16">
      <c r="A35" s="113">
        <v>14</v>
      </c>
      <c r="B35" s="1"/>
      <c r="C35" s="3"/>
      <c r="D35" s="3" t="s">
        <v>44</v>
      </c>
      <c r="E35" s="3"/>
      <c r="F35" s="211">
        <f>'ADJ DETAIL INPUT'!E34</f>
        <v>14391</v>
      </c>
      <c r="G35" s="211">
        <f>H35-F35</f>
        <v>-11</v>
      </c>
      <c r="H35" s="211">
        <f>'ADJ DETAIL INPUT'!Y34</f>
        <v>14380</v>
      </c>
      <c r="I35" s="211">
        <f>J35-H35</f>
        <v>2337</v>
      </c>
      <c r="J35" s="1000">
        <f>'ADJ DETAIL INPUT'!AT34</f>
        <v>16717</v>
      </c>
      <c r="K35" s="846">
        <f>R5</f>
        <v>7.0599999999999996E-2</v>
      </c>
      <c r="L35" s="867">
        <f t="shared" ref="L35:L36" si="11">J35*K35</f>
        <v>1180.2202</v>
      </c>
      <c r="M35" s="219"/>
      <c r="N35" s="940">
        <f t="shared" ref="N35:N36" si="12">J35+L35+M35</f>
        <v>17897.2202</v>
      </c>
      <c r="P35" s="878">
        <f>N35-J35</f>
        <v>1180.2201999999997</v>
      </c>
    </row>
    <row r="36" spans="1:16">
      <c r="A36" s="113">
        <v>15</v>
      </c>
      <c r="B36" s="1"/>
      <c r="C36" s="3"/>
      <c r="D36" s="3" t="s">
        <v>21</v>
      </c>
      <c r="E36" s="3"/>
      <c r="F36" s="214">
        <f>'ADJ DETAIL INPUT'!E35</f>
        <v>14862</v>
      </c>
      <c r="G36" s="213">
        <f>H36-F36</f>
        <v>-5395</v>
      </c>
      <c r="H36" s="213">
        <f>'ADJ DETAIL INPUT'!Y35</f>
        <v>9467</v>
      </c>
      <c r="I36" s="213">
        <f>J36-H36</f>
        <v>-1166</v>
      </c>
      <c r="J36" s="1013">
        <f>'ADJ DETAIL INPUT'!AT35</f>
        <v>8301</v>
      </c>
      <c r="K36" s="847">
        <f>R6</f>
        <v>4.2700000000000002E-2</v>
      </c>
      <c r="L36" s="868">
        <f t="shared" si="11"/>
        <v>354.45269999999999</v>
      </c>
      <c r="M36" s="213"/>
      <c r="N36" s="1003">
        <f t="shared" si="12"/>
        <v>8655.4526999999998</v>
      </c>
      <c r="P36" s="879">
        <f>N36-J36</f>
        <v>354.45269999999982</v>
      </c>
    </row>
    <row r="37" spans="1:16">
      <c r="A37" s="113">
        <v>16</v>
      </c>
      <c r="B37" s="1"/>
      <c r="C37" s="3"/>
      <c r="D37" s="3"/>
      <c r="E37" s="3" t="s">
        <v>47</v>
      </c>
      <c r="F37" s="211">
        <f>SUM(F34:F36)</f>
        <v>41534</v>
      </c>
      <c r="G37" s="211">
        <f t="shared" ref="G37:P37" si="13">SUM(G34:G36)</f>
        <v>-5420</v>
      </c>
      <c r="H37" s="211">
        <f t="shared" si="13"/>
        <v>36114</v>
      </c>
      <c r="I37" s="211">
        <f t="shared" si="13"/>
        <v>2315.7080000000005</v>
      </c>
      <c r="J37" s="1000">
        <f t="shared" si="13"/>
        <v>38429.707999999999</v>
      </c>
      <c r="K37" s="848"/>
      <c r="L37" s="867">
        <f t="shared" si="13"/>
        <v>2120.7645395999998</v>
      </c>
      <c r="M37" s="211">
        <f t="shared" si="13"/>
        <v>0</v>
      </c>
      <c r="N37" s="940">
        <f t="shared" si="13"/>
        <v>40550.472539599999</v>
      </c>
      <c r="P37" s="867">
        <f t="shared" si="13"/>
        <v>2120.7645395999989</v>
      </c>
    </row>
    <row r="38" spans="1:16" ht="5.25" customHeight="1">
      <c r="A38" s="113"/>
      <c r="B38" s="1"/>
      <c r="C38" s="3"/>
      <c r="D38" s="3"/>
      <c r="E38" s="3"/>
      <c r="F38" s="211"/>
      <c r="G38" s="211"/>
      <c r="H38" s="211"/>
      <c r="I38" s="211"/>
      <c r="J38" s="1000"/>
      <c r="K38" s="846"/>
      <c r="L38" s="867"/>
      <c r="M38" s="219"/>
      <c r="N38" s="940"/>
      <c r="P38" s="867"/>
    </row>
    <row r="39" spans="1:16">
      <c r="A39" s="113">
        <v>17</v>
      </c>
      <c r="B39" s="1" t="s">
        <v>48</v>
      </c>
      <c r="C39" s="3"/>
      <c r="D39" s="3"/>
      <c r="E39" s="3"/>
      <c r="F39" s="211">
        <f>'ADJ DETAIL INPUT'!E38</f>
        <v>4562</v>
      </c>
      <c r="G39" s="211">
        <f>H39-F39</f>
        <v>1931</v>
      </c>
      <c r="H39" s="211">
        <f>'ADJ DETAIL INPUT'!Y38</f>
        <v>6493</v>
      </c>
      <c r="I39" s="211">
        <f>J39-H39</f>
        <v>251.00699999999961</v>
      </c>
      <c r="J39" s="1000">
        <f>'ADJ DETAIL INPUT'!AT38</f>
        <v>6744.0069999999996</v>
      </c>
      <c r="K39" s="846">
        <f>R4</f>
        <v>4.3700000000000003E-2</v>
      </c>
      <c r="L39" s="867">
        <f t="shared" ref="L39:L41" si="14">J39*K39</f>
        <v>294.71310590000002</v>
      </c>
      <c r="M39" s="219"/>
      <c r="N39" s="940">
        <f t="shared" ref="N39:N41" si="15">J39+L39+M39</f>
        <v>7038.7201058999999</v>
      </c>
      <c r="P39" s="878">
        <f>N39-J39</f>
        <v>294.7131059000003</v>
      </c>
    </row>
    <row r="40" spans="1:16">
      <c r="A40" s="113">
        <v>18</v>
      </c>
      <c r="B40" s="1" t="s">
        <v>49</v>
      </c>
      <c r="C40" s="3"/>
      <c r="D40" s="3"/>
      <c r="E40" s="3"/>
      <c r="F40" s="211">
        <f>'ADJ DETAIL INPUT'!E39</f>
        <v>9284</v>
      </c>
      <c r="G40" s="211">
        <f>H40-F40</f>
        <v>-8505</v>
      </c>
      <c r="H40" s="211">
        <f>'ADJ DETAIL INPUT'!Y39</f>
        <v>779</v>
      </c>
      <c r="I40" s="211">
        <f>J40-H40</f>
        <v>111.43200000000002</v>
      </c>
      <c r="J40" s="1000">
        <f>'ADJ DETAIL INPUT'!AT39</f>
        <v>890.43200000000002</v>
      </c>
      <c r="K40" s="848">
        <f>R4</f>
        <v>4.3700000000000003E-2</v>
      </c>
      <c r="L40" s="867">
        <f t="shared" si="14"/>
        <v>38.911878400000006</v>
      </c>
      <c r="M40" s="219"/>
      <c r="N40" s="940">
        <f t="shared" si="15"/>
        <v>929.34387839999999</v>
      </c>
      <c r="P40" s="878">
        <f>N40-J40</f>
        <v>38.911878399999978</v>
      </c>
    </row>
    <row r="41" spans="1:16">
      <c r="A41" s="113">
        <v>19</v>
      </c>
      <c r="B41" s="1" t="s">
        <v>50</v>
      </c>
      <c r="C41" s="3"/>
      <c r="D41" s="3"/>
      <c r="E41" s="3"/>
      <c r="F41" s="211">
        <f>'ADJ DETAIL INPUT'!E40</f>
        <v>0</v>
      </c>
      <c r="G41" s="211">
        <f>H41-F41</f>
        <v>0</v>
      </c>
      <c r="H41" s="211">
        <f>'ADJ DETAIL INPUT'!Y40</f>
        <v>0</v>
      </c>
      <c r="I41" s="211">
        <f>J41-H41</f>
        <v>0</v>
      </c>
      <c r="J41" s="1000">
        <f>'ADJ DETAIL INPUT'!AT40</f>
        <v>0</v>
      </c>
      <c r="K41" s="848"/>
      <c r="L41" s="867">
        <f t="shared" si="14"/>
        <v>0</v>
      </c>
      <c r="M41" s="219"/>
      <c r="N41" s="940">
        <f t="shared" si="15"/>
        <v>0</v>
      </c>
      <c r="P41" s="878">
        <f>N41-J41</f>
        <v>0</v>
      </c>
    </row>
    <row r="42" spans="1:16" ht="4.5" customHeight="1">
      <c r="A42" s="113"/>
      <c r="B42" s="1"/>
      <c r="C42" s="3"/>
      <c r="D42" s="3"/>
      <c r="E42" s="3"/>
      <c r="F42" s="211"/>
      <c r="G42" s="211"/>
      <c r="H42" s="215"/>
      <c r="I42" s="211"/>
      <c r="J42" s="996"/>
      <c r="K42" s="848"/>
      <c r="L42" s="867"/>
      <c r="M42" s="219"/>
      <c r="N42" s="940"/>
      <c r="P42" s="867"/>
    </row>
    <row r="43" spans="1:16">
      <c r="A43" s="113"/>
      <c r="B43" s="1" t="s">
        <v>51</v>
      </c>
      <c r="C43" s="3"/>
      <c r="D43" s="3"/>
      <c r="E43" s="3"/>
      <c r="F43" s="211"/>
      <c r="G43" s="211"/>
      <c r="H43" s="211"/>
      <c r="I43" s="211"/>
      <c r="J43" s="1000"/>
      <c r="K43" s="846"/>
      <c r="L43" s="867"/>
      <c r="M43" s="219"/>
      <c r="N43" s="940"/>
      <c r="P43" s="867"/>
    </row>
    <row r="44" spans="1:16">
      <c r="A44" s="113">
        <v>20</v>
      </c>
      <c r="B44" s="1"/>
      <c r="C44" s="3" t="s">
        <v>43</v>
      </c>
      <c r="D44" s="3"/>
      <c r="E44" s="3"/>
      <c r="F44" s="211">
        <f>'ADJ DETAIL INPUT'!E43</f>
        <v>20606</v>
      </c>
      <c r="G44" s="211">
        <f>H44-F44</f>
        <v>353</v>
      </c>
      <c r="H44" s="211">
        <f>'ADJ DETAIL INPUT'!Y43</f>
        <v>20959</v>
      </c>
      <c r="I44" s="211">
        <f>J44-H44</f>
        <v>1898.7639999999992</v>
      </c>
      <c r="J44" s="1000">
        <f>'ADJ DETAIL INPUT'!AT43</f>
        <v>22857.763999999999</v>
      </c>
      <c r="K44" s="846">
        <f>R4</f>
        <v>4.3700000000000003E-2</v>
      </c>
      <c r="L44" s="867">
        <f t="shared" ref="L44:L47" si="16">J44*K44</f>
        <v>998.88428680000004</v>
      </c>
      <c r="M44" s="219">
        <v>-71</v>
      </c>
      <c r="N44" s="940">
        <f t="shared" ref="N44:N47" si="17">J44+L44+M44</f>
        <v>23785.648286799998</v>
      </c>
      <c r="P44" s="878">
        <f>N44-J44</f>
        <v>927.88428679999924</v>
      </c>
    </row>
    <row r="45" spans="1:16">
      <c r="A45" s="113">
        <v>21</v>
      </c>
      <c r="B45" s="1"/>
      <c r="C45" s="3" t="s">
        <v>192</v>
      </c>
      <c r="D45" s="3"/>
      <c r="E45" s="3"/>
      <c r="F45" s="211">
        <f>'ADJ DETAIL INPUT'!E44</f>
        <v>12268</v>
      </c>
      <c r="G45" s="211">
        <f>H45-F45</f>
        <v>0</v>
      </c>
      <c r="H45" s="211">
        <f>'ADJ DETAIL INPUT'!Y44</f>
        <v>12268</v>
      </c>
      <c r="I45" s="211">
        <f>J45-H45</f>
        <v>-592</v>
      </c>
      <c r="J45" s="1000">
        <f>'ADJ DETAIL INPUT'!AT44</f>
        <v>11676</v>
      </c>
      <c r="K45" s="846">
        <f>R5</f>
        <v>7.0599999999999996E-2</v>
      </c>
      <c r="L45" s="867">
        <f t="shared" si="16"/>
        <v>824.32560000000001</v>
      </c>
      <c r="M45" s="219"/>
      <c r="N45" s="940">
        <f t="shared" si="17"/>
        <v>12500.3256</v>
      </c>
      <c r="P45" s="878">
        <f>N45-J45</f>
        <v>824.32560000000012</v>
      </c>
    </row>
    <row r="46" spans="1:16">
      <c r="A46" s="113">
        <v>22</v>
      </c>
      <c r="B46" s="1"/>
      <c r="C46" s="7" t="s">
        <v>379</v>
      </c>
      <c r="D46" s="3"/>
      <c r="E46" s="3"/>
      <c r="F46" s="211">
        <f>'ADJ DETAIL INPUT'!E45</f>
        <v>-4848</v>
      </c>
      <c r="G46" s="211">
        <f>H46-F46</f>
        <v>2753</v>
      </c>
      <c r="H46" s="211">
        <f>'ADJ DETAIL INPUT'!Y45</f>
        <v>-2095</v>
      </c>
      <c r="I46" s="211">
        <f>J46-H46</f>
        <v>3064</v>
      </c>
      <c r="J46" s="1000">
        <f>'ADJ DETAIL INPUT'!AT45</f>
        <v>969</v>
      </c>
      <c r="K46" s="846"/>
      <c r="L46" s="867"/>
      <c r="M46" s="219"/>
      <c r="N46" s="940">
        <f t="shared" si="17"/>
        <v>969</v>
      </c>
      <c r="P46" s="878">
        <f>N46-J46</f>
        <v>0</v>
      </c>
    </row>
    <row r="47" spans="1:16">
      <c r="A47" s="113">
        <v>23</v>
      </c>
      <c r="B47" s="1"/>
      <c r="C47" s="3" t="s">
        <v>21</v>
      </c>
      <c r="D47" s="3"/>
      <c r="E47" s="3"/>
      <c r="F47" s="213">
        <f>'ADJ DETAIL INPUT'!E46</f>
        <v>929</v>
      </c>
      <c r="G47" s="213">
        <f>H47-F47</f>
        <v>0</v>
      </c>
      <c r="H47" s="211">
        <f>'ADJ DETAIL INPUT'!Y46</f>
        <v>929</v>
      </c>
      <c r="I47" s="213">
        <f>J47-H47</f>
        <v>0</v>
      </c>
      <c r="J47" s="1000">
        <f>'ADJ DETAIL INPUT'!AT46</f>
        <v>929</v>
      </c>
      <c r="K47" s="847">
        <f>R6</f>
        <v>4.2700000000000002E-2</v>
      </c>
      <c r="L47" s="867">
        <f t="shared" si="16"/>
        <v>39.668300000000002</v>
      </c>
      <c r="M47" s="219"/>
      <c r="N47" s="1003">
        <f t="shared" si="17"/>
        <v>968.66830000000004</v>
      </c>
      <c r="P47" s="879">
        <f>N47-J47</f>
        <v>39.668300000000045</v>
      </c>
    </row>
    <row r="48" spans="1:16">
      <c r="A48" s="113">
        <v>24</v>
      </c>
      <c r="B48" s="1"/>
      <c r="C48" s="3"/>
      <c r="D48" s="3" t="s">
        <v>52</v>
      </c>
      <c r="E48" s="330"/>
      <c r="F48" s="216">
        <f>SUM(F44:F47)</f>
        <v>28955</v>
      </c>
      <c r="G48" s="216">
        <f t="shared" ref="G48:L48" si="18">SUM(G44:G47)</f>
        <v>3106</v>
      </c>
      <c r="H48" s="216">
        <f t="shared" si="18"/>
        <v>32061</v>
      </c>
      <c r="I48" s="216">
        <f t="shared" si="18"/>
        <v>4370.7639999999992</v>
      </c>
      <c r="J48" s="952">
        <f t="shared" si="18"/>
        <v>36431.763999999996</v>
      </c>
      <c r="K48" s="847"/>
      <c r="L48" s="869">
        <f t="shared" si="18"/>
        <v>1862.8781868000001</v>
      </c>
      <c r="M48" s="216">
        <f t="shared" ref="M48:N48" si="19">SUM(M44:M47)</f>
        <v>-71</v>
      </c>
      <c r="N48" s="1014">
        <f t="shared" si="19"/>
        <v>38223.642186799996</v>
      </c>
      <c r="P48" s="869">
        <f t="shared" ref="P48" si="20">SUM(P44:P47)</f>
        <v>1791.8781867999994</v>
      </c>
    </row>
    <row r="49" spans="1:16">
      <c r="A49" s="113">
        <v>25</v>
      </c>
      <c r="B49" s="1" t="s">
        <v>53</v>
      </c>
      <c r="C49" s="3"/>
      <c r="D49" s="3"/>
      <c r="E49" s="3"/>
      <c r="F49" s="213">
        <f t="shared" ref="F49:L49" si="21">F48+F37+F31+F25+F39+F40+F41</f>
        <v>177983</v>
      </c>
      <c r="G49" s="213">
        <f t="shared" si="21"/>
        <v>-48672</v>
      </c>
      <c r="H49" s="213">
        <f t="shared" si="21"/>
        <v>129311</v>
      </c>
      <c r="I49" s="213">
        <f t="shared" si="21"/>
        <v>-42985.616999999998</v>
      </c>
      <c r="J49" s="1013">
        <f t="shared" si="21"/>
        <v>86325.383000000002</v>
      </c>
      <c r="K49" s="848"/>
      <c r="L49" s="868">
        <f t="shared" si="21"/>
        <v>4498.3049371000006</v>
      </c>
      <c r="M49" s="213">
        <f t="shared" ref="M49" si="22">M48+M37+M31+M25+M39+M40+M41</f>
        <v>-71</v>
      </c>
      <c r="N49" s="1003">
        <f>N48+N37+N31+N25+N39+N40+N41</f>
        <v>90752.687937099996</v>
      </c>
      <c r="P49" s="868">
        <f t="shared" ref="P49" si="23">P48+P37+P31+P25+P39+P40+P41</f>
        <v>4427.3049370999988</v>
      </c>
    </row>
    <row r="50" spans="1:16" ht="8.25" customHeight="1">
      <c r="A50" s="113"/>
      <c r="B50" s="1"/>
      <c r="C50" s="3"/>
      <c r="D50" s="3"/>
      <c r="E50" s="3"/>
      <c r="F50" s="211"/>
      <c r="G50" s="211"/>
      <c r="H50" s="211"/>
      <c r="I50" s="211"/>
      <c r="J50" s="1000"/>
      <c r="K50" s="847"/>
      <c r="L50" s="867"/>
      <c r="M50" s="211"/>
      <c r="N50" s="940"/>
      <c r="P50" s="867"/>
    </row>
    <row r="51" spans="1:16">
      <c r="A51" s="113">
        <v>26</v>
      </c>
      <c r="B51" s="1" t="s">
        <v>54</v>
      </c>
      <c r="C51" s="3"/>
      <c r="D51" s="3"/>
      <c r="E51" s="3"/>
      <c r="F51" s="211">
        <f t="shared" ref="F51:L51" si="24">F18-F49</f>
        <v>32011</v>
      </c>
      <c r="G51" s="211">
        <f t="shared" si="24"/>
        <v>-2240</v>
      </c>
      <c r="H51" s="211">
        <f t="shared" si="24"/>
        <v>29771</v>
      </c>
      <c r="I51" s="211">
        <f t="shared" si="24"/>
        <v>2633.6169999999984</v>
      </c>
      <c r="J51" s="1000">
        <f t="shared" si="24"/>
        <v>32404.616999999998</v>
      </c>
      <c r="K51" s="848"/>
      <c r="L51" s="867">
        <f t="shared" si="24"/>
        <v>-4498.3049371000006</v>
      </c>
      <c r="M51" s="211">
        <f>M18-M49</f>
        <v>1428</v>
      </c>
      <c r="N51" s="940">
        <f>N18-N49</f>
        <v>29334.312062900004</v>
      </c>
      <c r="P51" s="867">
        <f t="shared" ref="P51" si="25">P18-P49</f>
        <v>-3070.3049370999988</v>
      </c>
    </row>
    <row r="52" spans="1:16" ht="6.75" customHeight="1">
      <c r="A52" s="113"/>
      <c r="B52" s="1"/>
      <c r="C52" s="3"/>
      <c r="D52" s="3"/>
      <c r="E52" s="3"/>
      <c r="F52" s="211"/>
      <c r="G52" s="211"/>
      <c r="H52" s="211"/>
      <c r="I52" s="211"/>
      <c r="J52" s="1000"/>
      <c r="K52" s="848"/>
      <c r="L52" s="867"/>
      <c r="M52" s="219"/>
      <c r="N52" s="940"/>
      <c r="P52" s="867"/>
    </row>
    <row r="53" spans="1:16">
      <c r="A53" s="113"/>
      <c r="B53" s="1" t="s">
        <v>55</v>
      </c>
      <c r="C53" s="3"/>
      <c r="D53" s="3"/>
      <c r="E53" s="3"/>
      <c r="F53" s="211"/>
      <c r="G53" s="211"/>
      <c r="H53" s="211"/>
      <c r="I53" s="211"/>
      <c r="J53" s="1000"/>
      <c r="K53" s="846"/>
      <c r="L53" s="867"/>
      <c r="M53" s="219"/>
      <c r="N53" s="940"/>
      <c r="P53" s="867"/>
    </row>
    <row r="54" spans="1:16">
      <c r="A54" s="113">
        <v>27</v>
      </c>
      <c r="B54" s="1"/>
      <c r="C54" s="3" t="s">
        <v>56</v>
      </c>
      <c r="D54" s="3"/>
      <c r="E54" s="3"/>
      <c r="F54" s="211">
        <f>'ADJ DETAIL INPUT'!E53</f>
        <v>-3545</v>
      </c>
      <c r="G54" s="211">
        <f>H54-F54</f>
        <v>-219.40000000000009</v>
      </c>
      <c r="H54" s="211">
        <f>'ADJ DETAIL INPUT'!Y53</f>
        <v>-3764.4</v>
      </c>
      <c r="I54" s="211">
        <f>J54-H54</f>
        <v>553.05956999999944</v>
      </c>
      <c r="J54" s="1000">
        <f>'ADJ DETAIL INPUT'!AT53</f>
        <v>-3211.3404300000007</v>
      </c>
      <c r="K54" s="846"/>
      <c r="L54" s="870">
        <f t="shared" ref="L54:M54" si="26">L51*0.21</f>
        <v>-944.64403679100008</v>
      </c>
      <c r="M54" s="648">
        <f t="shared" si="26"/>
        <v>299.88</v>
      </c>
      <c r="N54" s="940">
        <f>J54+L54+M54</f>
        <v>-3856.104466791001</v>
      </c>
      <c r="P54" s="878">
        <f>N54-J54</f>
        <v>-644.76403679100031</v>
      </c>
    </row>
    <row r="55" spans="1:16">
      <c r="A55" s="113">
        <v>28</v>
      </c>
      <c r="B55" s="1"/>
      <c r="C55" s="154" t="s">
        <v>173</v>
      </c>
      <c r="D55" s="3"/>
      <c r="E55" s="3"/>
      <c r="F55" s="211">
        <f>'ADJ DETAIL INPUT'!E54</f>
        <v>0</v>
      </c>
      <c r="G55" s="211">
        <f>H55-F55</f>
        <v>-70.550297999999998</v>
      </c>
      <c r="H55" s="211">
        <f>'ADJ DETAIL INPUT'!Y54</f>
        <v>-70.550297999999998</v>
      </c>
      <c r="I55" s="211">
        <f>J55-H55</f>
        <v>-264.31914600000005</v>
      </c>
      <c r="J55" s="1000">
        <f>'ADJ DETAIL INPUT'!AT54</f>
        <v>-334.86944400000004</v>
      </c>
      <c r="K55" s="846"/>
      <c r="L55" s="870">
        <f>(L82*'RR SUMMARY'!$Q$12)*-0.21</f>
        <v>0</v>
      </c>
      <c r="M55" s="648">
        <f>(M82*'RR SUMMARY'!$Q$12)*-0.21</f>
        <v>0</v>
      </c>
      <c r="N55" s="940">
        <f>J55+L55+M55</f>
        <v>-334.86944400000004</v>
      </c>
      <c r="P55" s="878">
        <f>N55-J55</f>
        <v>0</v>
      </c>
    </row>
    <row r="56" spans="1:16">
      <c r="A56" s="113">
        <v>29</v>
      </c>
      <c r="B56" s="1"/>
      <c r="C56" s="3" t="s">
        <v>57</v>
      </c>
      <c r="D56" s="3"/>
      <c r="E56" s="3"/>
      <c r="F56" s="211">
        <f>'ADJ DETAIL INPUT'!E55</f>
        <v>6172</v>
      </c>
      <c r="G56" s="211">
        <f>H56-F56</f>
        <v>363</v>
      </c>
      <c r="H56" s="211">
        <f>'ADJ DETAIL INPUT'!Y55</f>
        <v>6535</v>
      </c>
      <c r="I56" s="211">
        <f>J56-H56</f>
        <v>27</v>
      </c>
      <c r="J56" s="1000">
        <f>'ADJ DETAIL INPUT'!AT55</f>
        <v>6562</v>
      </c>
      <c r="K56" s="846"/>
      <c r="L56" s="867"/>
      <c r="M56" s="219"/>
      <c r="N56" s="940">
        <f>J56+L56+M56</f>
        <v>6562</v>
      </c>
      <c r="P56" s="878">
        <f>N56-J56</f>
        <v>0</v>
      </c>
    </row>
    <row r="57" spans="1:16">
      <c r="A57" s="113">
        <v>30</v>
      </c>
      <c r="B57" s="1"/>
      <c r="C57" s="3" t="s">
        <v>58</v>
      </c>
      <c r="D57" s="3"/>
      <c r="E57" s="3"/>
      <c r="F57" s="213">
        <f>'ADJ DETAIL INPUT'!E56</f>
        <v>-2</v>
      </c>
      <c r="G57" s="213">
        <f>H57-F57</f>
        <v>0</v>
      </c>
      <c r="H57" s="213">
        <f>'ADJ DETAIL INPUT'!Y56</f>
        <v>-2</v>
      </c>
      <c r="I57" s="213">
        <f>J57-H57</f>
        <v>0</v>
      </c>
      <c r="J57" s="1013">
        <f>'ADJ DETAIL INPUT'!AT56</f>
        <v>-2</v>
      </c>
      <c r="K57" s="846"/>
      <c r="L57" s="868"/>
      <c r="M57" s="213"/>
      <c r="N57" s="1003">
        <f>J57+L57+M57</f>
        <v>-2</v>
      </c>
      <c r="P57" s="879">
        <f>N57-J57</f>
        <v>0</v>
      </c>
    </row>
    <row r="58" spans="1:16" ht="6" customHeight="1">
      <c r="A58" s="113"/>
      <c r="B58" s="1"/>
      <c r="C58" s="1"/>
      <c r="D58" s="1"/>
      <c r="E58" s="1"/>
      <c r="F58" s="211"/>
      <c r="G58" s="211"/>
      <c r="H58" s="211"/>
      <c r="I58" s="211"/>
      <c r="J58" s="1000"/>
      <c r="K58" s="847"/>
      <c r="L58" s="849"/>
      <c r="M58" s="891"/>
      <c r="N58" s="940"/>
      <c r="P58" s="867"/>
    </row>
    <row r="59" spans="1:16" ht="13.5" thickBot="1">
      <c r="A59" s="113">
        <v>31</v>
      </c>
      <c r="B59" s="2" t="s">
        <v>59</v>
      </c>
      <c r="C59" s="2"/>
      <c r="D59" s="2"/>
      <c r="E59" s="2"/>
      <c r="F59" s="218">
        <f t="shared" ref="F59:J59" si="27">F51-SUM(F54:F57)</f>
        <v>29386</v>
      </c>
      <c r="G59" s="218">
        <f t="shared" si="27"/>
        <v>-2313.0497019999998</v>
      </c>
      <c r="H59" s="218">
        <f t="shared" si="27"/>
        <v>27072.950298</v>
      </c>
      <c r="I59" s="218">
        <f t="shared" si="27"/>
        <v>2317.8765759999987</v>
      </c>
      <c r="J59" s="1016">
        <f t="shared" si="27"/>
        <v>29390.826873999998</v>
      </c>
      <c r="K59" s="848"/>
      <c r="L59" s="871">
        <f>L51-SUM(L54:L57)</f>
        <v>-3553.6609003090007</v>
      </c>
      <c r="M59" s="218">
        <f t="shared" ref="M59:P59" si="28">M51-SUM(M54:M57)</f>
        <v>1128.1199999999999</v>
      </c>
      <c r="N59" s="1010">
        <f>N51-SUM(N54:N57)</f>
        <v>26965.285973691003</v>
      </c>
      <c r="P59" s="871">
        <f t="shared" si="28"/>
        <v>-2425.5409003089985</v>
      </c>
    </row>
    <row r="60" spans="1:16" ht="7.5" customHeight="1" thickTop="1">
      <c r="A60" s="113"/>
      <c r="B60" s="1"/>
      <c r="C60" s="1"/>
      <c r="D60" s="1"/>
      <c r="E60" s="1"/>
      <c r="F60" s="211"/>
      <c r="G60" s="211"/>
      <c r="H60" s="211"/>
      <c r="I60" s="211"/>
      <c r="J60" s="1000"/>
      <c r="K60" s="848"/>
      <c r="L60" s="867"/>
      <c r="M60" s="219"/>
      <c r="N60" s="940"/>
      <c r="P60" s="867"/>
    </row>
    <row r="61" spans="1:16" hidden="1">
      <c r="A61" s="113"/>
      <c r="B61" s="1"/>
      <c r="C61" s="1"/>
      <c r="D61" s="1"/>
      <c r="E61" s="1"/>
      <c r="F61" s="211"/>
      <c r="G61" s="211"/>
      <c r="H61" s="211"/>
      <c r="I61" s="211"/>
      <c r="J61" s="1000"/>
      <c r="K61" s="848"/>
      <c r="L61" s="867"/>
      <c r="M61" s="219"/>
      <c r="N61" s="940"/>
      <c r="P61" s="867"/>
    </row>
    <row r="62" spans="1:16">
      <c r="A62" s="113"/>
      <c r="B62" s="1" t="s">
        <v>60</v>
      </c>
      <c r="C62" s="1"/>
      <c r="D62" s="1"/>
      <c r="E62" s="1"/>
      <c r="F62" s="211"/>
      <c r="G62" s="211"/>
      <c r="H62" s="211"/>
      <c r="I62" s="211"/>
      <c r="J62" s="1000"/>
      <c r="K62" s="846"/>
      <c r="L62" s="867"/>
      <c r="M62" s="219"/>
      <c r="N62" s="940"/>
      <c r="P62" s="867"/>
    </row>
    <row r="63" spans="1:16">
      <c r="A63" s="113">
        <v>32</v>
      </c>
      <c r="B63" s="3"/>
      <c r="C63" s="3" t="s">
        <v>42</v>
      </c>
      <c r="D63" s="3"/>
      <c r="E63" s="3"/>
      <c r="F63" s="211">
        <f>'ADJ DETAIL INPUT'!E62</f>
        <v>32352</v>
      </c>
      <c r="G63" s="211">
        <f>H63-F63</f>
        <v>737</v>
      </c>
      <c r="H63" s="211">
        <f>'ADJ DETAIL INPUT'!Y62</f>
        <v>33089</v>
      </c>
      <c r="I63" s="211">
        <f>J63-H63</f>
        <v>2306</v>
      </c>
      <c r="J63" s="1000">
        <f>'ADJ DETAIL INPUT'!AT62</f>
        <v>35395</v>
      </c>
      <c r="K63" s="846">
        <f>R7</f>
        <v>3.1399999999999997E-2</v>
      </c>
      <c r="L63" s="867">
        <f t="shared" ref="L63:L65" si="29">J63*K63</f>
        <v>1111.403</v>
      </c>
      <c r="M63" s="219"/>
      <c r="N63" s="940">
        <f t="shared" ref="N63:N65" si="30">J63+L63+M63</f>
        <v>36506.402999999998</v>
      </c>
      <c r="P63" s="878">
        <f>N63-J63</f>
        <v>1111.4029999999984</v>
      </c>
    </row>
    <row r="64" spans="1:16">
      <c r="A64" s="113">
        <v>33</v>
      </c>
      <c r="B64" s="3"/>
      <c r="C64" s="3" t="s">
        <v>61</v>
      </c>
      <c r="D64" s="3"/>
      <c r="E64" s="3"/>
      <c r="F64" s="211">
        <f>'ADJ DETAIL INPUT'!E63</f>
        <v>571039</v>
      </c>
      <c r="G64" s="211">
        <f>H64-F64</f>
        <v>21202</v>
      </c>
      <c r="H64" s="211">
        <f>'ADJ DETAIL INPUT'!Y63</f>
        <v>592241</v>
      </c>
      <c r="I64" s="211">
        <f>J64-H64</f>
        <v>70196</v>
      </c>
      <c r="J64" s="1000">
        <f>'ADJ DETAIL INPUT'!AT63</f>
        <v>662437</v>
      </c>
      <c r="K64" s="846">
        <f>R8</f>
        <v>5.6300000000000003E-2</v>
      </c>
      <c r="L64" s="867">
        <f t="shared" si="29"/>
        <v>37295.203099999999</v>
      </c>
      <c r="M64" s="219"/>
      <c r="N64" s="940">
        <f t="shared" si="30"/>
        <v>699732.20310000004</v>
      </c>
      <c r="P64" s="878">
        <f>N64-J64</f>
        <v>37295.203100000042</v>
      </c>
    </row>
    <row r="65" spans="1:16">
      <c r="A65" s="113">
        <v>34</v>
      </c>
      <c r="B65" s="3"/>
      <c r="C65" s="3" t="s">
        <v>62</v>
      </c>
      <c r="D65" s="3"/>
      <c r="E65" s="3"/>
      <c r="F65" s="213">
        <f>'ADJ DETAIL INPUT'!E64</f>
        <v>158395</v>
      </c>
      <c r="G65" s="213">
        <f>H65-F65</f>
        <v>2983</v>
      </c>
      <c r="H65" s="213">
        <f>'ADJ DETAIL INPUT'!Y64</f>
        <v>161378</v>
      </c>
      <c r="I65" s="213">
        <f>J65-H65</f>
        <v>2357</v>
      </c>
      <c r="J65" s="1013">
        <f>'ADJ DETAIL INPUT'!AT64</f>
        <v>163735</v>
      </c>
      <c r="K65" s="846">
        <f>R9</f>
        <v>0.10290000000000001</v>
      </c>
      <c r="L65" s="868">
        <f t="shared" si="29"/>
        <v>16848.3315</v>
      </c>
      <c r="M65" s="213"/>
      <c r="N65" s="1003">
        <f t="shared" si="30"/>
        <v>180583.3315</v>
      </c>
      <c r="P65" s="879">
        <f>N65-J65</f>
        <v>16848.3315</v>
      </c>
    </row>
    <row r="66" spans="1:16">
      <c r="A66" s="113">
        <v>35</v>
      </c>
      <c r="B66" s="3"/>
      <c r="C66" s="3"/>
      <c r="D66" s="3"/>
      <c r="E66" s="3" t="s">
        <v>63</v>
      </c>
      <c r="F66" s="219">
        <f>SUM(F63:F65)</f>
        <v>761786</v>
      </c>
      <c r="G66" s="219">
        <f t="shared" ref="G66:J66" si="31">SUM(G63:G65)</f>
        <v>24922</v>
      </c>
      <c r="H66" s="219">
        <f t="shared" si="31"/>
        <v>786708</v>
      </c>
      <c r="I66" s="219">
        <f t="shared" si="31"/>
        <v>74859</v>
      </c>
      <c r="J66" s="1017">
        <f t="shared" si="31"/>
        <v>861567</v>
      </c>
      <c r="K66" s="846"/>
      <c r="L66" s="867">
        <f>SUM(L63:L65)</f>
        <v>55254.937599999997</v>
      </c>
      <c r="M66" s="219">
        <f t="shared" ref="M66:P66" si="32">SUM(M63:M65)</f>
        <v>0</v>
      </c>
      <c r="N66" s="940">
        <f t="shared" si="32"/>
        <v>916821.93760000006</v>
      </c>
      <c r="P66" s="867">
        <f t="shared" si="32"/>
        <v>55254.937600000041</v>
      </c>
    </row>
    <row r="67" spans="1:16" ht="5.25" customHeight="1">
      <c r="A67" s="113"/>
      <c r="B67" s="3"/>
      <c r="C67" s="3"/>
      <c r="D67" s="3"/>
      <c r="E67" s="3"/>
      <c r="F67" s="219"/>
      <c r="G67" s="219"/>
      <c r="H67" s="219"/>
      <c r="I67" s="219"/>
      <c r="J67" s="1017"/>
      <c r="K67" s="847"/>
      <c r="L67" s="867"/>
      <c r="M67" s="219"/>
      <c r="N67" s="940"/>
      <c r="P67" s="867"/>
    </row>
    <row r="68" spans="1:16">
      <c r="A68" s="113"/>
      <c r="B68" s="3" t="s">
        <v>384</v>
      </c>
      <c r="C68" s="3"/>
      <c r="D68" s="3"/>
      <c r="E68" s="3"/>
      <c r="F68" s="211"/>
      <c r="G68" s="211"/>
      <c r="H68" s="211"/>
      <c r="I68" s="211"/>
      <c r="J68" s="1000"/>
      <c r="K68" s="848"/>
      <c r="L68" s="867"/>
      <c r="M68" s="219"/>
      <c r="N68" s="940"/>
      <c r="P68" s="867"/>
    </row>
    <row r="69" spans="1:16">
      <c r="A69" s="113">
        <v>36</v>
      </c>
      <c r="B69" s="3"/>
      <c r="C69" s="3" t="s">
        <v>42</v>
      </c>
      <c r="D69" s="3"/>
      <c r="E69" s="3"/>
      <c r="F69" s="211">
        <f>'ADJ DETAIL INPUT'!E68</f>
        <v>-12363</v>
      </c>
      <c r="G69" s="211">
        <f>H69-F69</f>
        <v>-233</v>
      </c>
      <c r="H69" s="211">
        <f>'ADJ DETAIL INPUT'!Y68</f>
        <v>-12596</v>
      </c>
      <c r="I69" s="211">
        <f>J69-H69</f>
        <v>-868</v>
      </c>
      <c r="J69" s="1000">
        <f>'ADJ DETAIL INPUT'!AT68</f>
        <v>-13464</v>
      </c>
      <c r="K69" s="846">
        <f>R10</f>
        <v>3.4700000000000002E-2</v>
      </c>
      <c r="L69" s="867">
        <f t="shared" ref="L69:L71" si="33">J69*K69</f>
        <v>-467.20080000000002</v>
      </c>
      <c r="M69" s="219"/>
      <c r="N69" s="940">
        <f t="shared" ref="N69:N71" si="34">J69+L69+M69</f>
        <v>-13931.200800000001</v>
      </c>
      <c r="P69" s="878">
        <f>N69-J69</f>
        <v>-467.20080000000053</v>
      </c>
    </row>
    <row r="70" spans="1:16">
      <c r="A70" s="113">
        <v>37</v>
      </c>
      <c r="B70" s="3"/>
      <c r="C70" s="3" t="s">
        <v>61</v>
      </c>
      <c r="D70" s="3"/>
      <c r="E70" s="3"/>
      <c r="F70" s="211">
        <f>'ADJ DETAIL INPUT'!E69</f>
        <v>-161309</v>
      </c>
      <c r="G70" s="211">
        <f>H70-F70</f>
        <v>-5546</v>
      </c>
      <c r="H70" s="211">
        <f>'ADJ DETAIL INPUT'!Y69</f>
        <v>-166855</v>
      </c>
      <c r="I70" s="211">
        <f>J70-H70</f>
        <v>-21588</v>
      </c>
      <c r="J70" s="1000">
        <f>'ADJ DETAIL INPUT'!AT69</f>
        <v>-188443</v>
      </c>
      <c r="K70" s="846">
        <f>R11</f>
        <v>3.8199999999999998E-2</v>
      </c>
      <c r="L70" s="867">
        <f t="shared" si="33"/>
        <v>-7198.5225999999993</v>
      </c>
      <c r="M70" s="219"/>
      <c r="N70" s="940">
        <f t="shared" si="34"/>
        <v>-195641.5226</v>
      </c>
      <c r="P70" s="878">
        <f>N70-J70</f>
        <v>-7198.5225999999966</v>
      </c>
    </row>
    <row r="71" spans="1:16">
      <c r="A71" s="113">
        <v>38</v>
      </c>
      <c r="B71" s="3"/>
      <c r="C71" s="3" t="s">
        <v>62</v>
      </c>
      <c r="D71" s="3"/>
      <c r="E71" s="3"/>
      <c r="F71" s="213">
        <f>'ADJ DETAIL INPUT'!E70</f>
        <v>-52407</v>
      </c>
      <c r="G71" s="213">
        <f>H71-F71</f>
        <v>-4044</v>
      </c>
      <c r="H71" s="211">
        <f>'ADJ DETAIL INPUT'!Y70</f>
        <v>-56451</v>
      </c>
      <c r="I71" s="213">
        <f>J71-H71</f>
        <v>-11410</v>
      </c>
      <c r="J71" s="1000">
        <f>'ADJ DETAIL INPUT'!AT70</f>
        <v>-67861</v>
      </c>
      <c r="K71" s="846">
        <f>R14</f>
        <v>0.10539999999999999</v>
      </c>
      <c r="L71" s="868">
        <f t="shared" si="33"/>
        <v>-7152.5493999999999</v>
      </c>
      <c r="M71" s="213"/>
      <c r="N71" s="1003">
        <f t="shared" si="34"/>
        <v>-75013.549400000004</v>
      </c>
      <c r="P71" s="879">
        <f>N71-J71</f>
        <v>-7152.5494000000035</v>
      </c>
    </row>
    <row r="72" spans="1:16">
      <c r="A72" s="113">
        <v>39</v>
      </c>
      <c r="B72" s="3" t="s">
        <v>385</v>
      </c>
      <c r="C72" s="3"/>
      <c r="D72" s="3"/>
      <c r="E72" s="330"/>
      <c r="F72" s="216">
        <f>SUM(F69:F71)</f>
        <v>-226079</v>
      </c>
      <c r="G72" s="216">
        <f t="shared" ref="G72:N72" si="35">SUM(G69:G71)</f>
        <v>-9823</v>
      </c>
      <c r="H72" s="216">
        <f t="shared" si="35"/>
        <v>-235902</v>
      </c>
      <c r="I72" s="216">
        <f t="shared" si="35"/>
        <v>-33866</v>
      </c>
      <c r="J72" s="952">
        <f t="shared" si="35"/>
        <v>-269768</v>
      </c>
      <c r="K72" s="846"/>
      <c r="L72" s="869">
        <f t="shared" si="35"/>
        <v>-14818.272799999999</v>
      </c>
      <c r="M72" s="216">
        <f t="shared" ref="M72" si="36">SUM(M69:M71)</f>
        <v>0</v>
      </c>
      <c r="N72" s="1014">
        <f t="shared" si="35"/>
        <v>-284586.27279999998</v>
      </c>
      <c r="P72" s="869">
        <f t="shared" ref="P72" si="37">SUM(P69:P71)</f>
        <v>-14818.272800000001</v>
      </c>
    </row>
    <row r="73" spans="1:16">
      <c r="A73" s="113">
        <v>40</v>
      </c>
      <c r="B73" s="154" t="s">
        <v>167</v>
      </c>
      <c r="C73" s="3"/>
      <c r="D73" s="3"/>
      <c r="E73" s="3"/>
      <c r="F73" s="219">
        <f>F66+F72</f>
        <v>535707</v>
      </c>
      <c r="G73" s="219">
        <f t="shared" ref="G73:N73" si="38">G66+G72</f>
        <v>15099</v>
      </c>
      <c r="H73" s="219">
        <f t="shared" si="38"/>
        <v>550806</v>
      </c>
      <c r="I73" s="219">
        <f t="shared" si="38"/>
        <v>40993</v>
      </c>
      <c r="J73" s="1017">
        <f t="shared" si="38"/>
        <v>591799</v>
      </c>
      <c r="K73" s="846"/>
      <c r="L73" s="867">
        <f t="shared" si="38"/>
        <v>40436.664799999999</v>
      </c>
      <c r="M73" s="219">
        <f t="shared" ref="M73" si="39">M66+M72</f>
        <v>0</v>
      </c>
      <c r="N73" s="940">
        <f t="shared" si="38"/>
        <v>632235.66480000014</v>
      </c>
      <c r="P73" s="867">
        <f t="shared" ref="P73" si="40">P66+P72</f>
        <v>40436.664800000042</v>
      </c>
    </row>
    <row r="74" spans="1:16">
      <c r="A74" s="4">
        <v>41</v>
      </c>
      <c r="B74" s="5" t="s">
        <v>65</v>
      </c>
      <c r="C74" s="5"/>
      <c r="D74" s="5"/>
      <c r="E74" s="5"/>
      <c r="F74" s="213">
        <f>'ADJ DETAIL INPUT'!E73</f>
        <v>-97558</v>
      </c>
      <c r="G74" s="213">
        <f>H74-F74</f>
        <v>11623</v>
      </c>
      <c r="H74" s="213">
        <f>'ADJ DETAIL INPUT'!Y73</f>
        <v>-85935</v>
      </c>
      <c r="I74" s="213">
        <f>J74-H74</f>
        <v>4284</v>
      </c>
      <c r="J74" s="1013">
        <f>'ADJ DETAIL INPUT'!AT73</f>
        <v>-81651</v>
      </c>
      <c r="K74" s="847">
        <f>R15</f>
        <v>6.7900000000000002E-2</v>
      </c>
      <c r="L74" s="868">
        <f t="shared" ref="L74" si="41">J74*K74</f>
        <v>-5544.1028999999999</v>
      </c>
      <c r="M74" s="213"/>
      <c r="N74" s="1003">
        <f t="shared" ref="N74" si="42">J74+L74+M74</f>
        <v>-87195.102899999998</v>
      </c>
      <c r="P74" s="879">
        <f>N74-J74</f>
        <v>-5544.102899999998</v>
      </c>
    </row>
    <row r="75" spans="1:16">
      <c r="A75" s="4">
        <v>42</v>
      </c>
      <c r="B75" s="5"/>
      <c r="C75" s="156" t="s">
        <v>195</v>
      </c>
      <c r="D75" s="5"/>
      <c r="E75" s="5"/>
      <c r="F75" s="211">
        <f>F73+F74</f>
        <v>438149</v>
      </c>
      <c r="G75" s="211">
        <f t="shared" ref="G75" si="43">G73+G74</f>
        <v>26722</v>
      </c>
      <c r="H75" s="211">
        <f>H73+H74</f>
        <v>464871</v>
      </c>
      <c r="I75" s="211">
        <f t="shared" ref="I75:P75" si="44">I73+I74</f>
        <v>45277</v>
      </c>
      <c r="J75" s="1000">
        <f>J73+J74</f>
        <v>510148</v>
      </c>
      <c r="K75" s="847"/>
      <c r="L75" s="867">
        <f t="shared" si="44"/>
        <v>34892.561900000001</v>
      </c>
      <c r="M75" s="211">
        <f t="shared" si="44"/>
        <v>0</v>
      </c>
      <c r="N75" s="940">
        <f>N73+N74</f>
        <v>545040.56190000009</v>
      </c>
      <c r="P75" s="867">
        <f t="shared" si="44"/>
        <v>34892.561900000044</v>
      </c>
    </row>
    <row r="76" spans="1:16" ht="12" customHeight="1">
      <c r="A76" s="113">
        <v>43</v>
      </c>
      <c r="B76" s="252" t="s">
        <v>66</v>
      </c>
      <c r="C76" s="252"/>
      <c r="D76" s="252"/>
      <c r="E76" s="252"/>
      <c r="F76" s="253">
        <f>'ADJ DETAIL INPUT'!E75</f>
        <v>11642</v>
      </c>
      <c r="G76" s="253">
        <f>H76-F76</f>
        <v>0</v>
      </c>
      <c r="H76" s="211">
        <f>'ADJ DETAIL INPUT'!Y75</f>
        <v>11642</v>
      </c>
      <c r="I76" s="253">
        <f>J76-H76</f>
        <v>0</v>
      </c>
      <c r="J76" s="1000">
        <f>'ADJ DETAIL INPUT'!AT75</f>
        <v>11642</v>
      </c>
      <c r="K76" s="848"/>
      <c r="L76" s="872"/>
      <c r="M76" s="445"/>
      <c r="N76" s="940">
        <f t="shared" ref="N76:N79" si="45">J76+L76+M76</f>
        <v>11642</v>
      </c>
      <c r="P76" s="878">
        <f>N76-J76</f>
        <v>0</v>
      </c>
    </row>
    <row r="77" spans="1:16">
      <c r="A77" s="113">
        <v>44</v>
      </c>
      <c r="B77" s="252" t="s">
        <v>67</v>
      </c>
      <c r="C77" s="252"/>
      <c r="D77" s="252"/>
      <c r="E77" s="252"/>
      <c r="F77" s="253">
        <f>'ADJ DETAIL INPUT'!E76</f>
        <v>0</v>
      </c>
      <c r="G77" s="253">
        <f>H77-F77</f>
        <v>0</v>
      </c>
      <c r="H77" s="211">
        <f>'ADJ DETAIL INPUT'!Y76</f>
        <v>0</v>
      </c>
      <c r="I77" s="253">
        <f>J77-H77</f>
        <v>0</v>
      </c>
      <c r="J77" s="1000">
        <f>'ADJ DETAIL INPUT'!AT76</f>
        <v>0</v>
      </c>
      <c r="K77" s="846"/>
      <c r="L77" s="872"/>
      <c r="M77" s="445"/>
      <c r="N77" s="940">
        <f t="shared" si="45"/>
        <v>0</v>
      </c>
      <c r="P77" s="878">
        <f>N77-J77</f>
        <v>0</v>
      </c>
    </row>
    <row r="78" spans="1:16">
      <c r="A78" s="113">
        <v>45</v>
      </c>
      <c r="B78" s="252" t="s">
        <v>386</v>
      </c>
      <c r="C78" s="252"/>
      <c r="D78" s="252"/>
      <c r="E78" s="252"/>
      <c r="F78" s="253">
        <f>'ADJ DETAIL INPUT'!E77</f>
        <v>-5644</v>
      </c>
      <c r="G78" s="253">
        <f>H78-F78</f>
        <v>-12205</v>
      </c>
      <c r="H78" s="211">
        <f>'ADJ DETAIL INPUT'!Y77</f>
        <v>-17849</v>
      </c>
      <c r="I78" s="253">
        <f>J78-H78</f>
        <v>8512</v>
      </c>
      <c r="J78" s="1000">
        <f>'ADJ DETAIL INPUT'!AT77</f>
        <v>-9337</v>
      </c>
      <c r="K78" s="847"/>
      <c r="L78" s="872"/>
      <c r="M78" s="445"/>
      <c r="N78" s="940">
        <f t="shared" si="45"/>
        <v>-9337</v>
      </c>
      <c r="P78" s="879">
        <f>N78-J78</f>
        <v>0</v>
      </c>
    </row>
    <row r="79" spans="1:16">
      <c r="A79" s="113">
        <v>46</v>
      </c>
      <c r="B79" s="252" t="s">
        <v>169</v>
      </c>
      <c r="C79" s="252"/>
      <c r="D79" s="252"/>
      <c r="E79" s="252"/>
      <c r="F79" s="214">
        <f>'ADJ DETAIL INPUT'!E78</f>
        <v>2649</v>
      </c>
      <c r="G79" s="214">
        <f>H79-F79</f>
        <v>-160</v>
      </c>
      <c r="H79" s="213">
        <f>'ADJ DETAIL INPUT'!Y78</f>
        <v>2489</v>
      </c>
      <c r="I79" s="214">
        <f>J79-H79</f>
        <v>0</v>
      </c>
      <c r="J79" s="1013">
        <f>'ADJ DETAIL INPUT'!AT78</f>
        <v>2489</v>
      </c>
      <c r="K79" s="846"/>
      <c r="L79" s="873"/>
      <c r="M79" s="214"/>
      <c r="N79" s="1003">
        <f t="shared" si="45"/>
        <v>2489</v>
      </c>
      <c r="P79" s="869">
        <f t="shared" ref="P79" si="46">SUM(P76:P78)</f>
        <v>0</v>
      </c>
    </row>
    <row r="80" spans="1:16" ht="3" customHeight="1">
      <c r="A80" s="113"/>
      <c r="B80" s="1"/>
      <c r="C80" s="1"/>
      <c r="D80" s="1"/>
      <c r="E80" s="1"/>
      <c r="F80" s="39"/>
      <c r="G80" s="39"/>
      <c r="H80" s="68"/>
      <c r="I80" s="39"/>
      <c r="J80" s="998"/>
      <c r="K80" s="846"/>
      <c r="L80" s="874"/>
      <c r="M80" s="716"/>
      <c r="N80" s="945"/>
      <c r="P80" s="874"/>
    </row>
    <row r="81" spans="1:26" ht="13.5" thickBot="1">
      <c r="A81" s="113">
        <v>47</v>
      </c>
      <c r="B81" s="2" t="s">
        <v>68</v>
      </c>
      <c r="C81" s="2"/>
      <c r="D81" s="2"/>
      <c r="E81" s="2"/>
      <c r="F81" s="67">
        <f>F79+F77+F76+F75+F78</f>
        <v>446796</v>
      </c>
      <c r="G81" s="67">
        <f>G79+G77+G76+G75+G78</f>
        <v>14357</v>
      </c>
      <c r="H81" s="67">
        <f>H79+H77+H76+H75+H78</f>
        <v>461153</v>
      </c>
      <c r="I81" s="67">
        <f>I79+I77+I76+I75+I78</f>
        <v>53789</v>
      </c>
      <c r="J81" s="949">
        <f>J79+J77+J76+J75+J78</f>
        <v>514942</v>
      </c>
      <c r="K81" s="861"/>
      <c r="L81" s="875">
        <f>L79+L77+L76+L75</f>
        <v>34892.561900000001</v>
      </c>
      <c r="M81" s="67">
        <f>M79+M77+M76+M75</f>
        <v>0</v>
      </c>
      <c r="N81" s="944">
        <f>N79+N77+N76+N75+N78</f>
        <v>549834.56190000009</v>
      </c>
      <c r="P81" s="875">
        <f>P79+P77+P76+P75</f>
        <v>34892.561900000044</v>
      </c>
    </row>
    <row r="82" spans="1:26" ht="13.5" thickTop="1">
      <c r="A82" s="113">
        <v>48</v>
      </c>
      <c r="B82" s="1" t="s">
        <v>424</v>
      </c>
      <c r="C82" s="1"/>
      <c r="D82" s="1"/>
      <c r="E82" s="1"/>
      <c r="F82" s="284">
        <f>ROUND(F59/F81,4)</f>
        <v>6.5799999999999997E-2</v>
      </c>
      <c r="G82" s="64"/>
      <c r="H82" s="284">
        <f>ROUND(H59/H81,4)</f>
        <v>5.8700000000000002E-2</v>
      </c>
      <c r="I82" s="64"/>
      <c r="J82" s="993">
        <f>ROUND(J59/J81,4)</f>
        <v>5.7099999999999998E-2</v>
      </c>
      <c r="K82" s="859"/>
      <c r="L82" s="860"/>
      <c r="M82" s="6"/>
      <c r="N82" s="993">
        <f>ROUND(N59/N81,4)</f>
        <v>4.9000000000000002E-2</v>
      </c>
      <c r="P82" s="284"/>
    </row>
    <row r="83" spans="1:26" ht="4.5" customHeight="1">
      <c r="A83" s="358"/>
      <c r="B83" s="358"/>
      <c r="C83" s="358"/>
      <c r="D83" s="358"/>
      <c r="E83" s="358"/>
      <c r="F83" s="358"/>
      <c r="G83" s="358"/>
      <c r="H83" s="358"/>
      <c r="I83" s="358"/>
      <c r="J83" s="1019"/>
      <c r="K83" s="330"/>
      <c r="L83" s="358"/>
      <c r="M83" s="358"/>
      <c r="N83" s="358"/>
      <c r="P83" s="358"/>
      <c r="Y83" s="527"/>
      <c r="Z83" s="877"/>
    </row>
    <row r="84" spans="1:26">
      <c r="A84" s="65"/>
      <c r="B84" s="66"/>
      <c r="C84" s="66"/>
      <c r="D84" s="66"/>
      <c r="E84" s="1006" t="s">
        <v>135</v>
      </c>
      <c r="F84" s="1027"/>
      <c r="G84" s="1012"/>
      <c r="H84" s="1012"/>
      <c r="I84" s="1012"/>
      <c r="J84" s="1028">
        <f>'RR SUMMARY'!F13</f>
        <v>7.3099999999999998E-2</v>
      </c>
      <c r="K84" s="330"/>
      <c r="L84" s="41"/>
      <c r="M84" s="41"/>
      <c r="P84" s="912" t="s">
        <v>626</v>
      </c>
    </row>
    <row r="85" spans="1:26" ht="12.75" customHeight="1">
      <c r="E85" s="1006" t="s">
        <v>607</v>
      </c>
      <c r="F85" s="1027"/>
      <c r="G85" s="1008"/>
      <c r="H85" s="1008"/>
      <c r="I85" s="1008"/>
      <c r="J85" s="1029">
        <f>'RR SUMMARY'!F21</f>
        <v>0.755463</v>
      </c>
      <c r="K85" s="330"/>
      <c r="N85" s="1076" t="s">
        <v>627</v>
      </c>
      <c r="O85" s="1076"/>
      <c r="P85" s="1076"/>
      <c r="Q85" s="1076"/>
    </row>
    <row r="86" spans="1:26" ht="13.5" thickBot="1">
      <c r="E86" s="1006" t="s">
        <v>156</v>
      </c>
      <c r="F86" s="1027"/>
      <c r="G86" s="1008"/>
      <c r="H86" s="1008"/>
      <c r="I86" s="1008"/>
      <c r="J86" s="1027">
        <f>J81*$J$84-J59</f>
        <v>8251.4333259999985</v>
      </c>
      <c r="K86" s="330"/>
      <c r="N86" s="330" t="s">
        <v>162</v>
      </c>
      <c r="P86" s="32">
        <f>P81*$J$84-P59</f>
        <v>4976.187175199002</v>
      </c>
    </row>
    <row r="87" spans="1:26" ht="13.5" thickBot="1">
      <c r="E87" s="1006" t="s">
        <v>608</v>
      </c>
      <c r="F87" s="1027"/>
      <c r="G87" s="1008"/>
      <c r="H87" s="1008"/>
      <c r="I87" s="1008"/>
      <c r="J87" s="1030">
        <f>J86/$J$85</f>
        <v>10922.352684380305</v>
      </c>
      <c r="K87" s="217"/>
      <c r="N87" s="997" t="s">
        <v>628</v>
      </c>
      <c r="O87" s="1031"/>
      <c r="P87" s="1021">
        <f>P86/$J$85</f>
        <v>6586.9369846028221</v>
      </c>
      <c r="Q87" s="1032" t="s">
        <v>629</v>
      </c>
    </row>
    <row r="88" spans="1:26" ht="5.25" customHeight="1" thickBot="1">
      <c r="E88" s="1008"/>
      <c r="F88" s="1008"/>
      <c r="G88" s="1008"/>
      <c r="H88" s="1008"/>
      <c r="I88" s="1008"/>
      <c r="J88" s="1008"/>
      <c r="K88" s="217"/>
    </row>
    <row r="89" spans="1:26" ht="13.5" thickBot="1">
      <c r="E89" s="1075" t="s">
        <v>671</v>
      </c>
      <c r="F89" s="1075"/>
      <c r="G89" s="1075"/>
      <c r="H89" s="1075"/>
      <c r="I89" s="1075"/>
      <c r="J89" s="1075"/>
      <c r="K89" s="330"/>
      <c r="N89" s="1039" t="s">
        <v>628</v>
      </c>
      <c r="O89" s="1040"/>
      <c r="P89" s="1041">
        <f>'RR SUMMARY'!H23</f>
        <v>2171.5002150998789</v>
      </c>
      <c r="Q89" s="1042" t="s">
        <v>630</v>
      </c>
    </row>
    <row r="90" spans="1:26" ht="3" customHeight="1"/>
    <row r="91" spans="1:26" ht="15">
      <c r="N91" s="1022"/>
      <c r="O91" s="1022"/>
      <c r="P91" s="1043">
        <f>P87-P89</f>
        <v>4415.4367695029432</v>
      </c>
      <c r="Q91" s="1074" t="s">
        <v>631</v>
      </c>
      <c r="R91" s="1074"/>
    </row>
    <row r="92" spans="1:26">
      <c r="N92" s="1022"/>
      <c r="O92" s="1022"/>
      <c r="P92" s="1022"/>
      <c r="Q92" s="1074"/>
      <c r="R92" s="1074"/>
    </row>
    <row r="96" spans="1:26">
      <c r="L96" s="858"/>
      <c r="M96" s="858"/>
      <c r="N96" s="858"/>
    </row>
    <row r="97" spans="12:14">
      <c r="L97" s="858"/>
      <c r="M97" s="858"/>
      <c r="N97" s="858"/>
    </row>
    <row r="1048576" spans="8:8">
      <c r="H1048576" s="112">
        <f>SUM(H83:H1048575)</f>
        <v>0</v>
      </c>
    </row>
  </sheetData>
  <mergeCells count="5">
    <mergeCell ref="Q91:R92"/>
    <mergeCell ref="E89:J89"/>
    <mergeCell ref="N85:Q85"/>
    <mergeCell ref="J6:J7"/>
    <mergeCell ref="J1:R2"/>
  </mergeCells>
  <pageMargins left="1" right="0.25" top="0.97" bottom="0.59" header="0.5" footer="0.5"/>
  <pageSetup scale="65" orientation="portrait" r:id="rId1"/>
  <headerFooter scaleWithDoc="0" alignWithMargins="0">
    <oddHeader xml:space="preserve">&amp;RExh. EMA-4
</oddHeader>
    <oddFooter>&amp;RPage 2 of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1137-EC0A-457F-B0D2-5BAB10BC5066}">
  <sheetPr codeName="Sheet9"/>
  <dimension ref="A1:K43"/>
  <sheetViews>
    <sheetView workbookViewId="0">
      <selection activeCell="E22" sqref="E22"/>
    </sheetView>
  </sheetViews>
  <sheetFormatPr defaultColWidth="9.140625" defaultRowHeight="12.75"/>
  <cols>
    <col min="1" max="1" width="30.85546875" style="562" customWidth="1"/>
    <col min="2" max="3" width="9.140625" style="562" customWidth="1"/>
    <col min="4" max="4" width="16.5703125" style="562" customWidth="1"/>
    <col min="5" max="5" width="16.140625" style="562" customWidth="1"/>
    <col min="6" max="9" width="9.140625" style="562"/>
    <col min="10" max="10" width="9.42578125" style="562" customWidth="1"/>
    <col min="11" max="16384" width="9.140625" style="562"/>
  </cols>
  <sheetData>
    <row r="1" spans="1:11" s="560" customFormat="1">
      <c r="A1" s="557" t="s">
        <v>112</v>
      </c>
      <c r="B1" s="558"/>
      <c r="C1" s="558"/>
      <c r="D1" s="558"/>
      <c r="E1" s="559"/>
    </row>
    <row r="2" spans="1:11" s="560" customFormat="1">
      <c r="A2" s="558" t="s">
        <v>504</v>
      </c>
      <c r="B2" s="558"/>
      <c r="C2" s="558"/>
      <c r="E2" s="561"/>
    </row>
    <row r="3" spans="1:11" s="560" customFormat="1">
      <c r="A3" s="557" t="s">
        <v>528</v>
      </c>
      <c r="B3" s="558"/>
      <c r="C3" s="558"/>
      <c r="D3" s="558"/>
      <c r="E3" s="558"/>
    </row>
    <row r="4" spans="1:11">
      <c r="A4" s="318"/>
      <c r="B4" s="318"/>
      <c r="C4" s="318"/>
      <c r="D4" s="318"/>
      <c r="E4" s="318"/>
    </row>
    <row r="5" spans="1:11">
      <c r="A5" s="318" t="s">
        <v>148</v>
      </c>
      <c r="B5" s="318"/>
      <c r="C5" s="318"/>
      <c r="D5" s="318"/>
      <c r="E5" s="318">
        <v>1</v>
      </c>
    </row>
    <row r="6" spans="1:11">
      <c r="A6" s="318"/>
      <c r="B6" s="318"/>
      <c r="C6" s="318"/>
      <c r="D6" s="318"/>
      <c r="E6" s="318"/>
    </row>
    <row r="7" spans="1:11">
      <c r="A7" s="318" t="s">
        <v>149</v>
      </c>
      <c r="B7" s="318"/>
      <c r="C7" s="318"/>
      <c r="D7" s="318"/>
      <c r="E7" s="318"/>
    </row>
    <row r="8" spans="1:11">
      <c r="A8" s="318"/>
      <c r="B8" s="318"/>
      <c r="C8" s="318"/>
      <c r="D8" s="318"/>
      <c r="E8" s="318"/>
    </row>
    <row r="9" spans="1:11">
      <c r="A9" s="318" t="s">
        <v>505</v>
      </c>
      <c r="B9" s="318"/>
      <c r="C9" s="318"/>
      <c r="D9" s="318"/>
      <c r="E9" s="318">
        <f>E29</f>
        <v>3.3260488953551302E-3</v>
      </c>
    </row>
    <row r="10" spans="1:11">
      <c r="A10" s="318"/>
      <c r="B10" s="318"/>
      <c r="C10" s="318"/>
      <c r="D10" s="318"/>
      <c r="E10" s="318"/>
    </row>
    <row r="11" spans="1:11">
      <c r="A11" s="318" t="s">
        <v>506</v>
      </c>
      <c r="B11" s="318"/>
      <c r="C11" s="318"/>
      <c r="D11" s="318"/>
      <c r="E11" s="563">
        <v>2E-3</v>
      </c>
    </row>
    <row r="12" spans="1:11">
      <c r="A12" s="318"/>
      <c r="B12" s="318"/>
      <c r="C12" s="318"/>
      <c r="D12" s="318"/>
      <c r="E12" s="318"/>
    </row>
    <row r="13" spans="1:11">
      <c r="A13" s="318" t="s">
        <v>507</v>
      </c>
      <c r="B13" s="318"/>
      <c r="C13" s="318"/>
      <c r="D13" s="318"/>
      <c r="E13" s="318">
        <f>E41</f>
        <v>3.8391880596550916E-2</v>
      </c>
    </row>
    <row r="14" spans="1:11">
      <c r="A14" s="318"/>
      <c r="B14" s="318"/>
      <c r="C14" s="318"/>
      <c r="D14" s="318"/>
      <c r="E14" s="318"/>
    </row>
    <row r="15" spans="1:11">
      <c r="A15" s="318"/>
      <c r="B15" s="318"/>
      <c r="C15" s="318"/>
      <c r="D15" s="318"/>
    </row>
    <row r="16" spans="1:11">
      <c r="A16" s="318" t="s">
        <v>153</v>
      </c>
      <c r="B16" s="318"/>
      <c r="C16" s="318"/>
      <c r="D16" s="318"/>
      <c r="E16" s="564">
        <f>SUM(E8:E14)</f>
        <v>4.3717929491906046E-2</v>
      </c>
      <c r="K16" s="565"/>
    </row>
    <row r="17" spans="1:5">
      <c r="A17" s="318"/>
      <c r="B17" s="318"/>
      <c r="C17" s="318"/>
      <c r="D17" s="318"/>
      <c r="E17" s="318"/>
    </row>
    <row r="18" spans="1:5">
      <c r="A18" s="318" t="s">
        <v>154</v>
      </c>
      <c r="C18" s="318"/>
      <c r="D18" s="318"/>
      <c r="E18" s="318">
        <f>E5-E16</f>
        <v>0.956282070508094</v>
      </c>
    </row>
    <row r="19" spans="1:5">
      <c r="A19" s="318"/>
      <c r="B19" s="318"/>
      <c r="C19" s="318"/>
      <c r="D19" s="318"/>
      <c r="E19" s="318"/>
    </row>
    <row r="20" spans="1:5">
      <c r="A20" s="318" t="s">
        <v>508</v>
      </c>
      <c r="B20" s="566">
        <v>0.21</v>
      </c>
      <c r="C20" s="567" t="s">
        <v>509</v>
      </c>
      <c r="D20" s="318"/>
      <c r="E20" s="318">
        <f>E18*$B$20</f>
        <v>0.20081923480669972</v>
      </c>
    </row>
    <row r="21" spans="1:5">
      <c r="A21" s="318"/>
      <c r="B21" s="318"/>
      <c r="C21" s="318"/>
      <c r="E21" s="318"/>
    </row>
    <row r="22" spans="1:5">
      <c r="A22" s="318" t="s">
        <v>155</v>
      </c>
      <c r="B22" s="318"/>
      <c r="C22" s="318"/>
      <c r="E22" s="568">
        <f>E18-E20</f>
        <v>0.75546283570139428</v>
      </c>
    </row>
    <row r="23" spans="1:5">
      <c r="A23" s="318"/>
      <c r="B23" s="318"/>
      <c r="C23" s="318"/>
      <c r="E23" s="318"/>
    </row>
    <row r="24" spans="1:5">
      <c r="A24" s="318" t="s">
        <v>510</v>
      </c>
      <c r="B24" s="318"/>
      <c r="C24" s="318"/>
      <c r="E24" s="318"/>
    </row>
    <row r="25" spans="1:5">
      <c r="A25" s="318" t="s">
        <v>511</v>
      </c>
      <c r="B25" s="318"/>
      <c r="C25" s="318"/>
      <c r="E25" s="318"/>
    </row>
    <row r="26" spans="1:5">
      <c r="A26" s="318" t="s">
        <v>512</v>
      </c>
      <c r="B26" s="318"/>
      <c r="C26" s="569" t="s">
        <v>513</v>
      </c>
      <c r="D26" s="570">
        <v>536647</v>
      </c>
      <c r="E26" s="318"/>
    </row>
    <row r="27" spans="1:5">
      <c r="A27" s="318" t="s">
        <v>514</v>
      </c>
      <c r="B27" s="318"/>
      <c r="C27" s="318"/>
      <c r="D27" s="571"/>
      <c r="E27" s="318"/>
    </row>
    <row r="28" spans="1:5">
      <c r="A28" s="318" t="s">
        <v>515</v>
      </c>
      <c r="B28" s="318"/>
      <c r="C28" s="569" t="s">
        <v>509</v>
      </c>
      <c r="D28" s="572">
        <v>161346696</v>
      </c>
      <c r="E28" s="318"/>
    </row>
    <row r="29" spans="1:5">
      <c r="A29" s="318" t="s">
        <v>516</v>
      </c>
      <c r="B29" s="318"/>
      <c r="C29" s="318"/>
      <c r="E29" s="564">
        <f>D26/D28</f>
        <v>3.3260488953551302E-3</v>
      </c>
    </row>
    <row r="30" spans="1:5">
      <c r="A30" s="318" t="s">
        <v>517</v>
      </c>
      <c r="B30" s="318"/>
      <c r="C30" s="318"/>
      <c r="E30" s="318"/>
    </row>
    <row r="31" spans="1:5">
      <c r="A31" s="318" t="s">
        <v>518</v>
      </c>
      <c r="B31" s="318"/>
      <c r="C31" s="318"/>
      <c r="E31" s="318"/>
    </row>
    <row r="32" spans="1:5">
      <c r="A32" s="318"/>
      <c r="B32" s="318"/>
      <c r="E32" s="318"/>
    </row>
    <row r="33" spans="1:5">
      <c r="A33" s="1080" t="s">
        <v>590</v>
      </c>
      <c r="B33" s="1080"/>
      <c r="C33" s="1080"/>
      <c r="D33" s="1080"/>
      <c r="E33" s="1080"/>
    </row>
    <row r="34" spans="1:5">
      <c r="A34" s="318"/>
      <c r="B34" s="318"/>
      <c r="C34" s="318"/>
      <c r="E34" s="318"/>
    </row>
    <row r="35" spans="1:5">
      <c r="A35" s="318" t="s">
        <v>519</v>
      </c>
      <c r="B35" s="318"/>
      <c r="C35" s="318"/>
      <c r="E35" s="318"/>
    </row>
    <row r="36" spans="1:5">
      <c r="A36" s="318" t="s">
        <v>520</v>
      </c>
      <c r="B36" s="318"/>
      <c r="C36" s="318"/>
      <c r="D36" s="318">
        <v>3.8519999999999999E-2</v>
      </c>
      <c r="E36" s="318"/>
    </row>
    <row r="37" spans="1:5">
      <c r="A37" s="318" t="s">
        <v>521</v>
      </c>
      <c r="B37" s="318"/>
      <c r="C37" s="318"/>
      <c r="D37" s="318"/>
      <c r="E37" s="318"/>
    </row>
    <row r="38" spans="1:5">
      <c r="A38" s="318" t="s">
        <v>522</v>
      </c>
      <c r="B38" s="318"/>
      <c r="C38" s="318"/>
      <c r="D38" s="318"/>
      <c r="E38" s="318"/>
    </row>
    <row r="39" spans="1:5">
      <c r="A39" s="318" t="s">
        <v>523</v>
      </c>
      <c r="C39" s="318">
        <v>1</v>
      </c>
      <c r="D39" s="318"/>
      <c r="E39" s="318"/>
    </row>
    <row r="40" spans="1:5">
      <c r="A40" s="318" t="s">
        <v>524</v>
      </c>
      <c r="C40" s="573">
        <f>E29</f>
        <v>3.3260488953551302E-3</v>
      </c>
      <c r="D40" s="573">
        <f>C39-C40</f>
        <v>0.99667395110464485</v>
      </c>
      <c r="E40" s="573"/>
    </row>
    <row r="41" spans="1:5">
      <c r="A41" s="318" t="s">
        <v>525</v>
      </c>
      <c r="B41" s="318"/>
      <c r="C41" s="318"/>
      <c r="D41" s="318"/>
      <c r="E41" s="573">
        <f>D36*D40</f>
        <v>3.8391880596550916E-2</v>
      </c>
    </row>
    <row r="42" spans="1:5">
      <c r="A42" s="318" t="s">
        <v>526</v>
      </c>
      <c r="B42" s="318"/>
      <c r="C42" s="318"/>
      <c r="D42" s="318"/>
      <c r="E42" s="318"/>
    </row>
    <row r="43" spans="1:5">
      <c r="A43" s="318"/>
      <c r="B43" s="318"/>
      <c r="C43" s="318"/>
      <c r="D43" s="318"/>
      <c r="E43" s="318"/>
    </row>
  </sheetData>
  <mergeCells count="1">
    <mergeCell ref="A33:E33"/>
  </mergeCells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218B3BF9018843AED91B649CD6B0BF" ma:contentTypeVersion="20" ma:contentTypeDescription="" ma:contentTypeScope="" ma:versionID="5e9bfd5adcd96a5886ee19e6506cae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2022-01-21T08:00:00+00:00</OpenedDate>
    <SignificantOrder xmlns="dc463f71-b30c-4ab2-9473-d307f9d35888">false</SignificantOrder>
    <Date1 xmlns="dc463f71-b30c-4ab2-9473-d307f9d35888">2022-01-21T08:00:00+00:00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4B8702-D9D5-487D-8226-55CC0B114121}"/>
</file>

<file path=customXml/itemProps2.xml><?xml version="1.0" encoding="utf-8"?>
<ds:datastoreItem xmlns:ds="http://schemas.openxmlformats.org/officeDocument/2006/customXml" ds:itemID="{21586AB7-3DEB-4452-B50C-5D794C2E0F50}"/>
</file>

<file path=customXml/itemProps3.xml><?xml version="1.0" encoding="utf-8"?>
<ds:datastoreItem xmlns:ds="http://schemas.openxmlformats.org/officeDocument/2006/customXml" ds:itemID="{AFCD7DB6-E6F5-458E-B77E-E4E200C8681C}"/>
</file>

<file path=customXml/itemProps4.xml><?xml version="1.0" encoding="utf-8"?>
<ds:datastoreItem xmlns:ds="http://schemas.openxmlformats.org/officeDocument/2006/customXml" ds:itemID="{D0576021-03B7-4053-8378-09F17906E8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PROP0SED RATES-12.2022</vt:lpstr>
      <vt:lpstr>PROP0SED RATES-12.2023</vt:lpstr>
      <vt:lpstr>RR SUMMARY</vt:lpstr>
      <vt:lpstr>CF</vt:lpstr>
      <vt:lpstr>ADJ DETAIL INPUT</vt:lpstr>
      <vt:lpstr>ADJ SUMMARY</vt:lpstr>
      <vt:lpstr>Exh. 6 pg 3-4 Gas RY2 Escalatn</vt:lpstr>
      <vt:lpstr>CF WA Gas</vt:lpstr>
      <vt:lpstr>ROO INPUT 1.00</vt:lpstr>
      <vt:lpstr>DEBT CALC 2.14</vt:lpstr>
      <vt:lpstr>LEAD SHEETS-DO NOT ENTER</vt:lpstr>
      <vt:lpstr>Recap Summary</vt:lpstr>
      <vt:lpstr>'ADJ DETAIL INPUT'!Print_Area</vt:lpstr>
      <vt:lpstr>'ADJ SUMMARY'!Print_Area</vt:lpstr>
      <vt:lpstr>CF!Print_Area</vt:lpstr>
      <vt:lpstr>'DEBT CALC 2.14'!Print_Area</vt:lpstr>
      <vt:lpstr>'Exh. 6 pg 3-4 Gas RY2 Escalatn'!Print_Area</vt:lpstr>
      <vt:lpstr>'LEAD SHEETS-DO NOT ENTER'!Print_Area</vt:lpstr>
      <vt:lpstr>'PROP0SED RATES-12.2022'!Print_Area</vt:lpstr>
      <vt:lpstr>'PROP0SED RATES-12.2023'!Print_Area</vt:lpstr>
      <vt:lpstr>'Recap Summary'!Print_Area</vt:lpstr>
      <vt:lpstr>'ROO INPUT 1.00'!Print_Area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 2.14'!WA_Elec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2022-01-15T19:23:11Z</cp:lastPrinted>
  <dcterms:created xsi:type="dcterms:W3CDTF">1997-05-15T21:41:44Z</dcterms:created>
  <dcterms:modified xsi:type="dcterms:W3CDTF">2022-01-17T23:16:15Z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0x0101006E56B4D1795A2E4DB2F0B01679ED314A00E6218B3BF9018843AED91B649CD6B0BF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